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derburyparishcouncil-my.sharepoint.com/personal/clerk_alderburyparishcouncil_gov_uk/Documents/Desktop/Financial/Budget Monitoring Reports/2025-26/"/>
    </mc:Choice>
  </mc:AlternateContent>
  <xr:revisionPtr revIDLastSave="8" documentId="8_{28C25823-DEF8-4EC8-8CDE-B9CFC7CDC437}" xr6:coauthVersionLast="47" xr6:coauthVersionMax="47" xr10:uidLastSave="{49574514-A03E-4A08-8805-AB00C9BB93B0}"/>
  <bookViews>
    <workbookView xWindow="-110" yWindow="-110" windowWidth="19420" windowHeight="10300" tabRatio="500" activeTab="1" xr2:uid="{00000000-000D-0000-FFFF-FFFF00000000}"/>
  </bookViews>
  <sheets>
    <sheet name="actual expenditure" sheetId="1" r:id="rId1"/>
    <sheet name="reserves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2" l="1"/>
  <c r="M61" i="1"/>
  <c r="B23" i="2" l="1"/>
  <c r="M66" i="1"/>
  <c r="C7" i="2"/>
  <c r="B7" i="2" s="1"/>
  <c r="B4" i="2"/>
  <c r="C58" i="1" l="1"/>
  <c r="D33" i="1"/>
  <c r="C9" i="2" l="1"/>
  <c r="C25" i="2" s="1"/>
  <c r="C27" i="2" l="1"/>
  <c r="M62" i="1"/>
  <c r="L62" i="1"/>
  <c r="M51" i="1"/>
  <c r="C43" i="1"/>
  <c r="M43" i="1"/>
  <c r="D45" i="1"/>
  <c r="D37" i="1"/>
  <c r="J37" i="1"/>
  <c r="D38" i="1"/>
  <c r="C62" i="1" l="1"/>
  <c r="M31" i="1"/>
  <c r="M65" i="1" s="1"/>
  <c r="M11" i="1"/>
  <c r="H29" i="1"/>
  <c r="M67" i="1" l="1"/>
  <c r="B9" i="2"/>
  <c r="J27" i="1"/>
  <c r="H27" i="1"/>
  <c r="J16" i="1"/>
  <c r="H16" i="1"/>
  <c r="H21" i="1"/>
  <c r="H19" i="1"/>
  <c r="H20" i="1"/>
  <c r="B25" i="2" l="1"/>
  <c r="H31" i="1"/>
  <c r="D9" i="2" l="1"/>
  <c r="B27" i="2"/>
  <c r="H51" i="1"/>
  <c r="J18" i="1"/>
  <c r="J20" i="1" s="1"/>
  <c r="L43" i="1"/>
  <c r="L51" i="1"/>
  <c r="J34" i="1"/>
  <c r="J43" i="1" s="1"/>
  <c r="J51" i="1"/>
  <c r="J19" i="1"/>
  <c r="E67" i="1"/>
  <c r="D67" i="1"/>
  <c r="C11" i="1"/>
  <c r="C51" i="1"/>
  <c r="C31" i="1"/>
  <c r="H34" i="1"/>
  <c r="H43" i="1" s="1"/>
  <c r="E31" i="1"/>
  <c r="D5" i="1"/>
  <c r="D6" i="1"/>
  <c r="D7" i="1"/>
  <c r="D8" i="1"/>
  <c r="D9" i="1"/>
  <c r="D10" i="1"/>
  <c r="D14" i="1"/>
  <c r="D15" i="1"/>
  <c r="D17" i="1"/>
  <c r="D18" i="1"/>
  <c r="D19" i="1"/>
  <c r="D20" i="1"/>
  <c r="D21" i="1"/>
  <c r="D22" i="1"/>
  <c r="D23" i="1"/>
  <c r="D24" i="1"/>
  <c r="D25" i="1"/>
  <c r="D26" i="1"/>
  <c r="D27" i="1"/>
  <c r="D29" i="1"/>
  <c r="D30" i="1"/>
  <c r="D49" i="1"/>
  <c r="D50" i="1"/>
  <c r="D36" i="1"/>
  <c r="D55" i="1"/>
  <c r="D56" i="1"/>
  <c r="D57" i="1"/>
  <c r="D58" i="1"/>
  <c r="D60" i="1"/>
  <c r="D59" i="1"/>
  <c r="D34" i="1"/>
  <c r="D35" i="1"/>
  <c r="D40" i="1"/>
  <c r="D61" i="1"/>
  <c r="H62" i="1" l="1"/>
  <c r="J62" i="1"/>
  <c r="L31" i="1"/>
  <c r="L65" i="1" s="1"/>
  <c r="C65" i="1"/>
  <c r="C67" i="1" s="1"/>
  <c r="J31" i="1"/>
  <c r="D11" i="1"/>
  <c r="D43" i="1"/>
  <c r="D54" i="1"/>
  <c r="D62" i="1" s="1"/>
  <c r="D16" i="1"/>
  <c r="D31" i="1" s="1"/>
  <c r="L67" i="1" l="1"/>
  <c r="M69" i="1" s="1"/>
  <c r="J65" i="1"/>
  <c r="J67" i="1" s="1"/>
  <c r="J5" i="1" s="1"/>
  <c r="L11" i="1"/>
  <c r="H65" i="1"/>
  <c r="H67" i="1" s="1"/>
  <c r="H5" i="1" s="1"/>
  <c r="D51" i="1"/>
  <c r="J11" i="1" l="1"/>
  <c r="H11" i="1"/>
</calcChain>
</file>

<file path=xl/sharedStrings.xml><?xml version="1.0" encoding="utf-8"?>
<sst xmlns="http://schemas.openxmlformats.org/spreadsheetml/2006/main" count="142" uniqueCount="136">
  <si>
    <t>Alderbury Parish Council</t>
  </si>
  <si>
    <t>First draft</t>
  </si>
  <si>
    <t>Second draft #1</t>
  </si>
  <si>
    <t xml:space="preserve"> YTD ACTUAL results for  2025-26</t>
  </si>
  <si>
    <t>as presented October</t>
  </si>
  <si>
    <t>keep precept rise to single figure % increase</t>
  </si>
  <si>
    <t>y/e 31.3.25</t>
  </si>
  <si>
    <t>y/e 31.3.26</t>
  </si>
  <si>
    <t>Actual</t>
  </si>
  <si>
    <t>Available to spend</t>
  </si>
  <si>
    <t>First draft BUDGET</t>
  </si>
  <si>
    <t>second draft BUDGET</t>
  </si>
  <si>
    <t>BUDGET</t>
  </si>
  <si>
    <t>INCOME</t>
  </si>
  <si>
    <t>Precept</t>
  </si>
  <si>
    <t>Grants &amp; donations</t>
  </si>
  <si>
    <t>for Buzz Action project</t>
  </si>
  <si>
    <t>incls FL</t>
  </si>
  <si>
    <t>Spider's Island</t>
  </si>
  <si>
    <t>Interest</t>
  </si>
  <si>
    <t>we should do well from higher rates</t>
  </si>
  <si>
    <t>Cemetery Fees</t>
  </si>
  <si>
    <t>Miscellaneous Income</t>
  </si>
  <si>
    <t>incl BKV</t>
  </si>
  <si>
    <t>S Rd allots, High Str Allots You can give notice to increase these</t>
  </si>
  <si>
    <t>CIL Receipts</t>
  </si>
  <si>
    <t>known to be nil</t>
  </si>
  <si>
    <t>EXPENDITURE</t>
  </si>
  <si>
    <t>ADMIN</t>
  </si>
  <si>
    <t>Insurance</t>
  </si>
  <si>
    <t>known</t>
  </si>
  <si>
    <t>Stationery</t>
  </si>
  <si>
    <t>largely printer catridges</t>
  </si>
  <si>
    <t>Internal &amp; External Audit Fees</t>
  </si>
  <si>
    <t>inflation at 7.5%</t>
  </si>
  <si>
    <t>Clerk Salary</t>
  </si>
  <si>
    <t>current yr pay settlement is still outstanding</t>
  </si>
  <si>
    <t xml:space="preserve"> assume 24/25 increase 5% </t>
  </si>
  <si>
    <t>Pension Contributions (ER)`</t>
  </si>
  <si>
    <t>follows salary</t>
  </si>
  <si>
    <t>HMRC Payments</t>
  </si>
  <si>
    <t>23/24 yr low due to clerk's refund  24/25 follows salary</t>
  </si>
  <si>
    <t>Clerk's allowance (homeworker)</t>
  </si>
  <si>
    <t>no news of any increase</t>
  </si>
  <si>
    <t>Telephone</t>
  </si>
  <si>
    <t>Postage</t>
  </si>
  <si>
    <t>PO Box</t>
  </si>
  <si>
    <t>Training</t>
  </si>
  <si>
    <t>Website Costs incl email</t>
  </si>
  <si>
    <t>IT Services</t>
  </si>
  <si>
    <t>Accounting &amp; cemetery software</t>
  </si>
  <si>
    <t>7.5% inflation</t>
  </si>
  <si>
    <t>Bank charges</t>
  </si>
  <si>
    <t>Payroll</t>
  </si>
  <si>
    <t>PWLB - Loan</t>
  </si>
  <si>
    <t>FACILITIES &amp; SERVICES</t>
  </si>
  <si>
    <t>Grounds maintenance contract</t>
  </si>
  <si>
    <t>contract allows uplift: 8% last year</t>
  </si>
  <si>
    <t>Litter Collection</t>
  </si>
  <si>
    <t>just agreed</t>
  </si>
  <si>
    <t>Tree Maintenance</t>
  </si>
  <si>
    <t>Waleran Cl Rent</t>
  </si>
  <si>
    <t xml:space="preserve">Play equipment inspection </t>
  </si>
  <si>
    <t>when I thought it was just RoSPA later versions are more accurate</t>
  </si>
  <si>
    <t>Electricity</t>
  </si>
  <si>
    <t xml:space="preserve">due to price rises (up 32%) </t>
  </si>
  <si>
    <t>SID</t>
  </si>
  <si>
    <t>Allotment Rent</t>
  </si>
  <si>
    <t>IT development work</t>
  </si>
  <si>
    <t>from reserves</t>
  </si>
  <si>
    <t>Pavilion rates</t>
  </si>
  <si>
    <t>VILLAGE MAINT</t>
  </si>
  <si>
    <t>Village Maintenance</t>
  </si>
  <si>
    <t>covered from reserves</t>
  </si>
  <si>
    <t>car park from reserves &amp; donation (£3k)</t>
  </si>
  <si>
    <t>Playground equip R &amp; M</t>
  </si>
  <si>
    <t>£8.5k from reserves</t>
  </si>
  <si>
    <t>Spider's Island project (funded)</t>
  </si>
  <si>
    <t>Pavilion R &amp; M</t>
  </si>
  <si>
    <t>fund any from reserves</t>
  </si>
  <si>
    <t>Footpath maintenance</t>
  </si>
  <si>
    <t>so far v little spent but can }go to reserves</t>
  </si>
  <si>
    <t>Pavement Works</t>
  </si>
  <si>
    <t>}</t>
  </si>
  <si>
    <t>keep building reserves?</t>
  </si>
  <si>
    <t>MISCELLANEOUS</t>
  </si>
  <si>
    <t>Subscriptions</t>
  </si>
  <si>
    <t>Chairman's expenses</t>
  </si>
  <si>
    <t>Clerk/Councillor Travel</t>
  </si>
  <si>
    <t>assume no change in mileage claim rate</t>
  </si>
  <si>
    <t>Councillor Expenses</t>
  </si>
  <si>
    <t>Community Projects/grants (s.137)</t>
  </si>
  <si>
    <t>incls Bowls club from reserves (£1k)</t>
  </si>
  <si>
    <t>overspend from reserves</t>
  </si>
  <si>
    <t xml:space="preserve">youth activities </t>
  </si>
  <si>
    <t>Buzz Action</t>
  </si>
  <si>
    <t>£500 grant from SAB, £500 reserves</t>
  </si>
  <si>
    <t>see above</t>
  </si>
  <si>
    <t>Legal Expenses</t>
  </si>
  <si>
    <t>Asset Purchase</t>
  </si>
  <si>
    <t>nothing planned</t>
  </si>
  <si>
    <t>TOTAL expenditure</t>
  </si>
  <si>
    <t>forecast full year expenditure</t>
  </si>
  <si>
    <t>budget expenditure</t>
  </si>
  <si>
    <t>funded from reserves</t>
  </si>
  <si>
    <t>forecast full year income</t>
  </si>
  <si>
    <t>expenditure funded from income</t>
  </si>
  <si>
    <t>add to reserves (mostly CIL)</t>
  </si>
  <si>
    <t>%age of budget spent</t>
  </si>
  <si>
    <t>RESERVES</t>
  </si>
  <si>
    <t>General</t>
  </si>
  <si>
    <t xml:space="preserve">CIL MUST be spent on capital </t>
  </si>
  <si>
    <t>Opening balance 31.3.25</t>
  </si>
  <si>
    <t>Made up of:</t>
  </si>
  <si>
    <t>General fund</t>
  </si>
  <si>
    <t xml:space="preserve">approx. 6 months expenditure </t>
  </si>
  <si>
    <t>Earmarked reserves</t>
  </si>
  <si>
    <t>environmental projects</t>
  </si>
  <si>
    <t>election</t>
  </si>
  <si>
    <t>Pavilion heating</t>
  </si>
  <si>
    <t>community support (eg grants)</t>
  </si>
  <si>
    <t>recreation ground (balancing figure)</t>
  </si>
  <si>
    <t xml:space="preserve">This number is overstated because income is front-end loaded </t>
  </si>
  <si>
    <t>tree work</t>
  </si>
  <si>
    <t>ACTUAL to 31.10.25</t>
  </si>
  <si>
    <t>CPRE winnings</t>
  </si>
  <si>
    <t>Meeting costs</t>
  </si>
  <si>
    <t>7 months in on steady spend would be 58%</t>
  </si>
  <si>
    <t xml:space="preserve"> from reserves</t>
  </si>
  <si>
    <t>Balance 31.10.25</t>
  </si>
  <si>
    <t>Receipts to 31.10.25 (incl VAT)</t>
  </si>
  <si>
    <t>Expenditure to 31.10.25 (incl VAT)</t>
  </si>
  <si>
    <t>invoice November</t>
  </si>
  <si>
    <t xml:space="preserve">footpath/pavement work incl circular path </t>
  </si>
  <si>
    <t>LHFIG for Firs Road/SID post (known)</t>
  </si>
  <si>
    <t>LHFIG future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</si>
</sst>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[Red]\-#,##0\ "/>
    <numFmt numFmtId="165" formatCode="_-* #,##0_-;\-* #,##0_-;_-* &quot;-&quot;??_-;_-@_-"/>
    <numFmt numFmtId="166" formatCode="#,##0_ ;\-#,##0\ "/>
  </numFmts>
  <fonts count="15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b/>
      <u val="singleAccounting"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rgb="FFFF0000"/>
      <name val="Arial"/>
      <family val="2"/>
    </font>
    <font>
      <sz val="10"/>
      <color theme="2" tint="-0.249977111117893"/>
      <name val="Arial"/>
      <family val="2"/>
    </font>
    <font>
      <b/>
      <sz val="10"/>
      <color theme="2" tint="-0.249977111117893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0" tint="-0.34998626667073579"/>
      <name val="Arial"/>
      <family val="2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</borders>
  <cellStyleXfs count="3">
    <xf numFmtId="0" fontId="0" fillId="0" borderId="0">
      <alignment vertical="top"/>
    </xf>
    <xf numFmtId="43" fontId="1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</cellStyleXfs>
  <cellXfs count="139">
    <xf numFmtId="0" fontId="0" fillId="0" borderId="0" xfId="0">
      <alignment vertical="top"/>
    </xf>
    <xf numFmtId="164" fontId="2" fillId="0" borderId="0" xfId="1" applyNumberFormat="1" applyFont="1">
      <alignment vertical="top"/>
    </xf>
    <xf numFmtId="164" fontId="0" fillId="0" borderId="0" xfId="1" applyNumberFormat="1" applyFont="1">
      <alignment vertical="top"/>
    </xf>
    <xf numFmtId="164" fontId="0" fillId="0" borderId="0" xfId="1" applyNumberFormat="1" applyFont="1" applyBorder="1">
      <alignment vertical="top"/>
    </xf>
    <xf numFmtId="164" fontId="2" fillId="0" borderId="0" xfId="1" applyNumberFormat="1" applyFont="1" applyAlignment="1">
      <alignment vertical="top" wrapText="1"/>
    </xf>
    <xf numFmtId="164" fontId="0" fillId="0" borderId="0" xfId="1" applyNumberFormat="1" applyFont="1" applyAlignment="1">
      <alignment vertical="top" wrapText="1"/>
    </xf>
    <xf numFmtId="164" fontId="3" fillId="0" borderId="0" xfId="1" applyNumberFormat="1" applyFont="1" applyAlignment="1">
      <alignment horizontal="right" vertical="top"/>
    </xf>
    <xf numFmtId="164" fontId="3" fillId="0" borderId="0" xfId="1" applyNumberFormat="1" applyFont="1">
      <alignment vertical="top"/>
    </xf>
    <xf numFmtId="164" fontId="1" fillId="0" borderId="0" xfId="1" applyNumberFormat="1" applyFont="1" applyAlignment="1">
      <alignment vertical="top" wrapText="1"/>
    </xf>
    <xf numFmtId="164" fontId="1" fillId="0" borderId="0" xfId="1" applyNumberFormat="1" applyFont="1">
      <alignment vertical="top"/>
    </xf>
    <xf numFmtId="164" fontId="3" fillId="0" borderId="0" xfId="1" applyNumberFormat="1" applyFont="1" applyAlignment="1">
      <alignment horizontal="left" vertical="top"/>
    </xf>
    <xf numFmtId="164" fontId="3" fillId="0" borderId="0" xfId="1" applyNumberFormat="1" applyFont="1" applyAlignment="1">
      <alignment vertical="top" wrapText="1"/>
    </xf>
    <xf numFmtId="164" fontId="0" fillId="0" borderId="0" xfId="1" applyNumberFormat="1" applyFont="1" applyBorder="1" applyAlignment="1">
      <alignment vertical="top" wrapText="1"/>
    </xf>
    <xf numFmtId="164" fontId="1" fillId="0" borderId="0" xfId="1" applyNumberFormat="1" applyFont="1" applyBorder="1">
      <alignment vertical="top"/>
    </xf>
    <xf numFmtId="164" fontId="1" fillId="0" borderId="0" xfId="1" applyNumberFormat="1" applyFont="1" applyFill="1" applyBorder="1" applyAlignment="1">
      <alignment vertical="top" wrapText="1"/>
    </xf>
    <xf numFmtId="164" fontId="1" fillId="0" borderId="0" xfId="1" applyNumberFormat="1" applyFont="1" applyBorder="1" applyAlignment="1">
      <alignment vertical="top" wrapText="1"/>
    </xf>
    <xf numFmtId="164" fontId="0" fillId="0" borderId="0" xfId="1" applyNumberFormat="1" applyFont="1" applyFill="1" applyBorder="1" applyAlignment="1">
      <alignment vertical="top" wrapText="1"/>
    </xf>
    <xf numFmtId="164" fontId="1" fillId="0" borderId="0" xfId="1" applyNumberFormat="1" applyFont="1" applyBorder="1" applyAlignment="1">
      <alignment horizontal="right" vertical="top"/>
    </xf>
    <xf numFmtId="164" fontId="5" fillId="0" borderId="0" xfId="1" applyNumberFormat="1" applyFont="1" applyBorder="1" applyAlignment="1">
      <alignment horizontal="right" vertical="top"/>
    </xf>
    <xf numFmtId="164" fontId="0" fillId="0" borderId="1" xfId="1" applyNumberFormat="1" applyFont="1" applyBorder="1">
      <alignment vertical="top"/>
    </xf>
    <xf numFmtId="164" fontId="0" fillId="0" borderId="1" xfId="1" applyNumberFormat="1" applyFont="1" applyBorder="1" applyAlignment="1">
      <alignment vertical="top" wrapText="1"/>
    </xf>
    <xf numFmtId="164" fontId="1" fillId="0" borderId="1" xfId="1" applyNumberFormat="1" applyFont="1" applyBorder="1">
      <alignment vertical="top"/>
    </xf>
    <xf numFmtId="164" fontId="0" fillId="0" borderId="2" xfId="1" applyNumberFormat="1" applyFont="1" applyBorder="1">
      <alignment vertical="top"/>
    </xf>
    <xf numFmtId="164" fontId="0" fillId="0" borderId="2" xfId="1" applyNumberFormat="1" applyFont="1" applyBorder="1" applyAlignment="1">
      <alignment vertical="top" wrapText="1"/>
    </xf>
    <xf numFmtId="164" fontId="1" fillId="0" borderId="2" xfId="1" applyNumberFormat="1" applyFont="1" applyBorder="1">
      <alignment vertical="top"/>
    </xf>
    <xf numFmtId="164" fontId="6" fillId="0" borderId="0" xfId="1" applyNumberFormat="1" applyFont="1">
      <alignment vertical="top"/>
    </xf>
    <xf numFmtId="164" fontId="7" fillId="0" borderId="0" xfId="1" applyNumberFormat="1" applyFont="1" applyAlignment="1">
      <alignment horizontal="center" vertical="top"/>
    </xf>
    <xf numFmtId="164" fontId="6" fillId="0" borderId="2" xfId="1" applyNumberFormat="1" applyFont="1" applyBorder="1">
      <alignment vertical="top"/>
    </xf>
    <xf numFmtId="164" fontId="6" fillId="0" borderId="1" xfId="1" applyNumberFormat="1" applyFont="1" applyBorder="1">
      <alignment vertical="top"/>
    </xf>
    <xf numFmtId="164" fontId="6" fillId="0" borderId="0" xfId="1" applyNumberFormat="1" applyFont="1" applyBorder="1">
      <alignment vertical="top"/>
    </xf>
    <xf numFmtId="164" fontId="0" fillId="2" borderId="0" xfId="1" applyNumberFormat="1" applyFont="1" applyFill="1">
      <alignment vertical="top"/>
    </xf>
    <xf numFmtId="164" fontId="1" fillId="2" borderId="1" xfId="1" applyNumberFormat="1" applyFont="1" applyFill="1" applyBorder="1">
      <alignment vertical="top"/>
    </xf>
    <xf numFmtId="164" fontId="1" fillId="2" borderId="2" xfId="1" applyNumberFormat="1" applyFont="1" applyFill="1" applyBorder="1">
      <alignment vertical="top"/>
    </xf>
    <xf numFmtId="164" fontId="0" fillId="2" borderId="0" xfId="1" applyNumberFormat="1" applyFont="1" applyFill="1" applyBorder="1">
      <alignment vertical="top"/>
    </xf>
    <xf numFmtId="0" fontId="0" fillId="0" borderId="0" xfId="0" applyAlignment="1">
      <alignment vertical="top" wrapText="1"/>
    </xf>
    <xf numFmtId="164" fontId="0" fillId="2" borderId="0" xfId="1" applyNumberFormat="1" applyFont="1" applyFill="1" applyAlignment="1">
      <alignment vertical="top" wrapText="1"/>
    </xf>
    <xf numFmtId="164" fontId="4" fillId="0" borderId="0" xfId="1" applyNumberFormat="1" applyFont="1" applyAlignment="1">
      <alignment vertical="top"/>
    </xf>
    <xf numFmtId="164" fontId="0" fillId="0" borderId="0" xfId="1" applyNumberFormat="1" applyFont="1" applyAlignment="1">
      <alignment vertical="top"/>
    </xf>
    <xf numFmtId="164" fontId="1" fillId="0" borderId="0" xfId="1" applyNumberFormat="1" applyFont="1" applyFill="1" applyBorder="1">
      <alignment vertical="top"/>
    </xf>
    <xf numFmtId="164" fontId="3" fillId="0" borderId="0" xfId="1" applyNumberFormat="1" applyFont="1" applyAlignment="1">
      <alignment horizontal="left" vertical="top" wrapText="1"/>
    </xf>
    <xf numFmtId="164" fontId="1" fillId="0" borderId="0" xfId="1" applyNumberFormat="1" applyFont="1" applyAlignment="1">
      <alignment vertical="top"/>
    </xf>
    <xf numFmtId="164" fontId="3" fillId="0" borderId="0" xfId="1" applyNumberFormat="1" applyFont="1" applyAlignment="1">
      <alignment vertical="top"/>
    </xf>
    <xf numFmtId="164" fontId="6" fillId="0" borderId="0" xfId="1" applyNumberFormat="1" applyFont="1" applyAlignment="1">
      <alignment vertical="top"/>
    </xf>
    <xf numFmtId="164" fontId="0" fillId="0" borderId="0" xfId="1" applyNumberFormat="1" applyFont="1" applyBorder="1" applyAlignment="1">
      <alignment vertical="top"/>
    </xf>
    <xf numFmtId="164" fontId="1" fillId="0" borderId="0" xfId="1" applyNumberFormat="1" applyFont="1" applyBorder="1" applyAlignment="1">
      <alignment vertical="top"/>
    </xf>
    <xf numFmtId="164" fontId="0" fillId="2" borderId="0" xfId="1" applyNumberFormat="1" applyFont="1" applyFill="1" applyAlignment="1">
      <alignment vertical="top"/>
    </xf>
    <xf numFmtId="164" fontId="0" fillId="3" borderId="0" xfId="1" applyNumberFormat="1" applyFont="1" applyFill="1" applyBorder="1">
      <alignment vertical="top"/>
    </xf>
    <xf numFmtId="164" fontId="0" fillId="3" borderId="0" xfId="1" applyNumberFormat="1" applyFont="1" applyFill="1" applyBorder="1" applyAlignment="1">
      <alignment vertical="top" wrapText="1"/>
    </xf>
    <xf numFmtId="164" fontId="1" fillId="3" borderId="0" xfId="1" applyNumberFormat="1" applyFont="1" applyFill="1" applyBorder="1">
      <alignment vertical="top"/>
    </xf>
    <xf numFmtId="164" fontId="0" fillId="3" borderId="0" xfId="1" applyNumberFormat="1" applyFont="1" applyFill="1">
      <alignment vertical="top"/>
    </xf>
    <xf numFmtId="164" fontId="1" fillId="3" borderId="0" xfId="1" applyNumberFormat="1" applyFont="1" applyFill="1">
      <alignment vertical="top"/>
    </xf>
    <xf numFmtId="0" fontId="0" fillId="3" borderId="0" xfId="0" applyFill="1">
      <alignment vertical="top"/>
    </xf>
    <xf numFmtId="164" fontId="0" fillId="0" borderId="0" xfId="1" applyNumberFormat="1" applyFont="1" applyAlignment="1">
      <alignment horizontal="right" vertical="top" wrapText="1"/>
    </xf>
    <xf numFmtId="164" fontId="0" fillId="0" borderId="0" xfId="1" applyNumberFormat="1" applyFont="1" applyAlignment="1">
      <alignment horizontal="right" vertical="top"/>
    </xf>
    <xf numFmtId="164" fontId="1" fillId="0" borderId="0" xfId="1" applyNumberFormat="1" applyFont="1" applyAlignment="1">
      <alignment horizontal="right" vertical="top"/>
    </xf>
    <xf numFmtId="164" fontId="1" fillId="0" borderId="0" xfId="1" applyNumberFormat="1" applyFont="1" applyAlignment="1">
      <alignment horizontal="right" vertical="top" wrapText="1"/>
    </xf>
    <xf numFmtId="164" fontId="1" fillId="0" borderId="0" xfId="1" applyNumberFormat="1" applyFont="1" applyAlignment="1">
      <alignment horizontal="left" vertical="top" wrapText="1"/>
    </xf>
    <xf numFmtId="164" fontId="1" fillId="0" borderId="0" xfId="1" applyNumberFormat="1" applyFont="1" applyAlignment="1">
      <alignment horizontal="left" vertical="top"/>
    </xf>
    <xf numFmtId="164" fontId="3" fillId="0" borderId="0" xfId="1" applyNumberFormat="1" applyFont="1" applyBorder="1" applyAlignment="1">
      <alignment horizontal="center" vertical="top"/>
    </xf>
    <xf numFmtId="164" fontId="3" fillId="2" borderId="0" xfId="1" applyNumberFormat="1" applyFont="1" applyFill="1">
      <alignment vertical="top"/>
    </xf>
    <xf numFmtId="164" fontId="6" fillId="0" borderId="0" xfId="1" applyNumberFormat="1" applyFont="1" applyFill="1">
      <alignment vertical="top"/>
    </xf>
    <xf numFmtId="164" fontId="0" fillId="3" borderId="0" xfId="1" applyNumberFormat="1" applyFont="1" applyFill="1" applyAlignment="1">
      <alignment vertical="top"/>
    </xf>
    <xf numFmtId="164" fontId="3" fillId="0" borderId="0" xfId="1" applyNumberFormat="1" applyFont="1" applyAlignment="1">
      <alignment horizontal="right" vertical="top" wrapText="1"/>
    </xf>
    <xf numFmtId="164" fontId="1" fillId="0" borderId="0" xfId="1" applyNumberFormat="1" applyFont="1" applyFill="1" applyBorder="1" applyAlignment="1">
      <alignment vertical="top"/>
    </xf>
    <xf numFmtId="164" fontId="6" fillId="0" borderId="0" xfId="1" applyNumberFormat="1" applyFont="1" applyBorder="1" applyAlignment="1">
      <alignment vertical="top"/>
    </xf>
    <xf numFmtId="164" fontId="0" fillId="2" borderId="0" xfId="1" applyNumberFormat="1" applyFont="1" applyFill="1" applyBorder="1" applyAlignment="1">
      <alignment vertical="top"/>
    </xf>
    <xf numFmtId="164" fontId="1" fillId="0" borderId="0" xfId="1" applyNumberFormat="1" applyFont="1" applyFill="1" applyAlignment="1"/>
    <xf numFmtId="165" fontId="7" fillId="0" borderId="0" xfId="1" applyNumberFormat="1" applyFont="1" applyFill="1" applyAlignment="1"/>
    <xf numFmtId="164" fontId="3" fillId="0" borderId="0" xfId="1" applyNumberFormat="1" applyFont="1" applyFill="1" applyBorder="1" applyAlignment="1"/>
    <xf numFmtId="164" fontId="1" fillId="0" borderId="0" xfId="1" applyNumberFormat="1" applyFont="1" applyFill="1" applyBorder="1" applyAlignment="1">
      <alignment horizontal="right"/>
    </xf>
    <xf numFmtId="165" fontId="1" fillId="0" borderId="0" xfId="1" applyNumberFormat="1" applyFont="1" applyBorder="1" applyAlignment="1"/>
    <xf numFmtId="164" fontId="1" fillId="0" borderId="0" xfId="1" applyNumberFormat="1" applyFont="1" applyBorder="1" applyAlignment="1"/>
    <xf numFmtId="164" fontId="0" fillId="2" borderId="0" xfId="1" applyNumberFormat="1" applyFont="1" applyFill="1" applyAlignment="1"/>
    <xf numFmtId="164" fontId="0" fillId="0" borderId="0" xfId="1" applyNumberFormat="1" applyFont="1" applyAlignment="1"/>
    <xf numFmtId="0" fontId="0" fillId="0" borderId="0" xfId="0" applyAlignment="1"/>
    <xf numFmtId="164" fontId="1" fillId="0" borderId="0" xfId="1" applyNumberFormat="1" applyFont="1" applyAlignment="1">
      <alignment wrapText="1"/>
    </xf>
    <xf numFmtId="164" fontId="6" fillId="0" borderId="0" xfId="1" applyNumberFormat="1" applyFont="1" applyAlignment="1"/>
    <xf numFmtId="164" fontId="8" fillId="0" borderId="0" xfId="1" applyNumberFormat="1" applyFont="1" applyAlignment="1"/>
    <xf numFmtId="164" fontId="8" fillId="2" borderId="0" xfId="1" applyNumberFormat="1" applyFont="1" applyFill="1" applyAlignment="1"/>
    <xf numFmtId="165" fontId="11" fillId="0" borderId="0" xfId="1" applyNumberFormat="1" applyFont="1" applyAlignment="1"/>
    <xf numFmtId="165" fontId="0" fillId="0" borderId="0" xfId="1" applyNumberFormat="1" applyFont="1" applyAlignment="1"/>
    <xf numFmtId="165" fontId="11" fillId="0" borderId="0" xfId="1" applyNumberFormat="1" applyFont="1" applyAlignment="1">
      <alignment wrapText="1"/>
    </xf>
    <xf numFmtId="165" fontId="3" fillId="0" borderId="0" xfId="1" applyNumberFormat="1" applyFont="1" applyAlignment="1"/>
    <xf numFmtId="165" fontId="3" fillId="0" borderId="0" xfId="1" applyNumberFormat="1" applyFont="1" applyFill="1" applyAlignment="1"/>
    <xf numFmtId="165" fontId="0" fillId="0" borderId="0" xfId="1" applyNumberFormat="1" applyFont="1" applyFill="1" applyAlignment="1"/>
    <xf numFmtId="165" fontId="1" fillId="0" borderId="0" xfId="1" applyNumberFormat="1" applyFont="1" applyAlignment="1">
      <alignment horizontal="right" wrapText="1"/>
    </xf>
    <xf numFmtId="165" fontId="1" fillId="0" borderId="0" xfId="1" applyNumberFormat="1" applyFont="1" applyAlignment="1">
      <alignment wrapText="1"/>
    </xf>
    <xf numFmtId="164" fontId="4" fillId="0" borderId="0" xfId="1" applyNumberFormat="1" applyFont="1" applyFill="1">
      <alignment vertical="top"/>
    </xf>
    <xf numFmtId="165" fontId="0" fillId="0" borderId="0" xfId="1" applyNumberFormat="1" applyFont="1" applyFill="1" applyAlignment="1">
      <alignment wrapText="1"/>
    </xf>
    <xf numFmtId="165" fontId="1" fillId="0" borderId="0" xfId="1" applyNumberFormat="1" applyFont="1" applyFill="1" applyAlignment="1">
      <alignment wrapText="1"/>
    </xf>
    <xf numFmtId="165" fontId="0" fillId="0" borderId="0" xfId="1" applyNumberFormat="1" applyFont="1" applyAlignment="1">
      <alignment wrapText="1"/>
    </xf>
    <xf numFmtId="165" fontId="0" fillId="0" borderId="0" xfId="1" applyNumberFormat="1" applyFont="1" applyAlignment="1">
      <alignment horizontal="left" wrapText="1"/>
    </xf>
    <xf numFmtId="165" fontId="3" fillId="0" borderId="0" xfId="1" applyNumberFormat="1" applyFont="1" applyFill="1" applyAlignment="1">
      <alignment horizontal="left" wrapText="1"/>
    </xf>
    <xf numFmtId="165" fontId="0" fillId="0" borderId="0" xfId="1" applyNumberFormat="1" applyFont="1" applyFill="1" applyAlignment="1">
      <alignment horizontal="left" wrapText="1"/>
    </xf>
    <xf numFmtId="165" fontId="1" fillId="0" borderId="0" xfId="1" applyNumberFormat="1" applyFont="1" applyAlignment="1">
      <alignment horizontal="left" wrapText="1"/>
    </xf>
    <xf numFmtId="165" fontId="1" fillId="0" borderId="0" xfId="1" applyNumberFormat="1" applyFont="1" applyFill="1" applyAlignment="1">
      <alignment horizontal="left" wrapText="1"/>
    </xf>
    <xf numFmtId="0" fontId="0" fillId="0" borderId="0" xfId="0" applyAlignment="1">
      <alignment horizontal="left" vertical="top" wrapText="1"/>
    </xf>
    <xf numFmtId="165" fontId="3" fillId="0" borderId="0" xfId="1" applyNumberFormat="1" applyFont="1" applyAlignment="1">
      <alignment wrapText="1"/>
    </xf>
    <xf numFmtId="165" fontId="10" fillId="0" borderId="0" xfId="1" applyNumberFormat="1" applyFont="1" applyAlignment="1">
      <alignment wrapText="1"/>
    </xf>
    <xf numFmtId="164" fontId="8" fillId="0" borderId="0" xfId="1" applyNumberFormat="1" applyFont="1" applyFill="1" applyAlignment="1">
      <alignment vertical="top" wrapText="1"/>
    </xf>
    <xf numFmtId="164" fontId="8" fillId="0" borderId="0" xfId="1" applyNumberFormat="1" applyFont="1" applyAlignment="1">
      <alignment vertical="top" wrapText="1"/>
    </xf>
    <xf numFmtId="164" fontId="8" fillId="0" borderId="0" xfId="1" applyNumberFormat="1" applyFont="1">
      <alignment vertical="top"/>
    </xf>
    <xf numFmtId="164" fontId="8" fillId="0" borderId="0" xfId="1" applyNumberFormat="1" applyFont="1" applyFill="1">
      <alignment vertical="top"/>
    </xf>
    <xf numFmtId="164" fontId="8" fillId="0" borderId="0" xfId="1" applyNumberFormat="1" applyFont="1" applyFill="1" applyAlignment="1">
      <alignment vertical="top"/>
    </xf>
    <xf numFmtId="164" fontId="8" fillId="0" borderId="0" xfId="1" applyNumberFormat="1" applyFont="1" applyAlignment="1">
      <alignment vertical="top"/>
    </xf>
    <xf numFmtId="164" fontId="8" fillId="0" borderId="1" xfId="1" applyNumberFormat="1" applyFont="1" applyFill="1" applyBorder="1">
      <alignment vertical="top"/>
    </xf>
    <xf numFmtId="164" fontId="8" fillId="0" borderId="2" xfId="1" applyNumberFormat="1" applyFont="1" applyFill="1" applyBorder="1">
      <alignment vertical="top"/>
    </xf>
    <xf numFmtId="164" fontId="8" fillId="0" borderId="0" xfId="1" applyNumberFormat="1" applyFont="1" applyFill="1" applyBorder="1">
      <alignment vertical="top"/>
    </xf>
    <xf numFmtId="164" fontId="8" fillId="0" borderId="0" xfId="1" applyNumberFormat="1" applyFont="1" applyFill="1" applyBorder="1" applyAlignment="1">
      <alignment vertical="top"/>
    </xf>
    <xf numFmtId="164" fontId="8" fillId="0" borderId="0" xfId="1" applyNumberFormat="1" applyFont="1" applyFill="1" applyAlignment="1"/>
    <xf numFmtId="166" fontId="8" fillId="0" borderId="0" xfId="1" applyNumberFormat="1" applyFont="1" applyFill="1" applyAlignment="1"/>
    <xf numFmtId="164" fontId="7" fillId="0" borderId="0" xfId="1" applyNumberFormat="1" applyFont="1" applyAlignment="1">
      <alignment horizontal="center" wrapText="1"/>
    </xf>
    <xf numFmtId="164" fontId="3" fillId="0" borderId="0" xfId="1" applyNumberFormat="1" applyFont="1" applyBorder="1" applyAlignment="1">
      <alignment wrapText="1"/>
    </xf>
    <xf numFmtId="164" fontId="2" fillId="0" borderId="0" xfId="1" applyNumberFormat="1" applyFont="1" applyBorder="1" applyAlignment="1">
      <alignment wrapText="1"/>
    </xf>
    <xf numFmtId="164" fontId="3" fillId="0" borderId="0" xfId="1" applyNumberFormat="1" applyFont="1" applyBorder="1" applyAlignment="1">
      <alignment horizontal="center" wrapText="1"/>
    </xf>
    <xf numFmtId="164" fontId="3" fillId="2" borderId="0" xfId="1" applyNumberFormat="1" applyFont="1" applyFill="1" applyAlignment="1">
      <alignment horizontal="center" wrapText="1"/>
    </xf>
    <xf numFmtId="164" fontId="2" fillId="0" borderId="0" xfId="1" applyNumberFormat="1" applyFont="1" applyAlignment="1">
      <alignment wrapText="1"/>
    </xf>
    <xf numFmtId="164" fontId="12" fillId="0" borderId="0" xfId="1" applyNumberFormat="1" applyFont="1" applyFill="1" applyAlignment="1">
      <alignment horizontal="center" wrapText="1"/>
    </xf>
    <xf numFmtId="164" fontId="13" fillId="0" borderId="0" xfId="1" applyNumberFormat="1" applyFont="1" applyFill="1">
      <alignment vertical="top"/>
    </xf>
    <xf numFmtId="164" fontId="13" fillId="0" borderId="0" xfId="1" applyNumberFormat="1" applyFont="1">
      <alignment vertical="top"/>
    </xf>
    <xf numFmtId="164" fontId="13" fillId="0" borderId="0" xfId="1" applyNumberFormat="1" applyFont="1" applyAlignment="1">
      <alignment vertical="top" wrapText="1"/>
    </xf>
    <xf numFmtId="164" fontId="13" fillId="0" borderId="0" xfId="1" applyNumberFormat="1" applyFont="1" applyAlignment="1">
      <alignment vertical="top"/>
    </xf>
    <xf numFmtId="164" fontId="13" fillId="0" borderId="0" xfId="1" applyNumberFormat="1" applyFont="1" applyFill="1" applyAlignment="1">
      <alignment vertical="top"/>
    </xf>
    <xf numFmtId="9" fontId="8" fillId="0" borderId="0" xfId="2" applyFont="1" applyAlignment="1">
      <alignment vertical="top"/>
    </xf>
    <xf numFmtId="0" fontId="1" fillId="0" borderId="0" xfId="0" applyFont="1" applyAlignment="1">
      <alignment wrapText="1"/>
    </xf>
    <xf numFmtId="165" fontId="1" fillId="0" borderId="0" xfId="1" applyNumberFormat="1" applyFont="1" applyFill="1" applyAlignment="1"/>
    <xf numFmtId="165" fontId="1" fillId="4" borderId="0" xfId="1" applyNumberFormat="1" applyFont="1" applyFill="1" applyAlignment="1"/>
    <xf numFmtId="0" fontId="0" fillId="4" borderId="0" xfId="0" applyFill="1" applyAlignment="1">
      <alignment vertical="top" wrapText="1"/>
    </xf>
    <xf numFmtId="164" fontId="0" fillId="2" borderId="1" xfId="1" applyNumberFormat="1" applyFont="1" applyFill="1" applyBorder="1">
      <alignment vertical="top"/>
    </xf>
    <xf numFmtId="164" fontId="0" fillId="0" borderId="1" xfId="1" applyNumberFormat="1" applyFont="1" applyBorder="1" applyAlignment="1">
      <alignment horizontal="right" vertical="top"/>
    </xf>
    <xf numFmtId="0" fontId="0" fillId="0" borderId="1" xfId="0" applyBorder="1">
      <alignment vertical="top"/>
    </xf>
    <xf numFmtId="164" fontId="13" fillId="0" borderId="1" xfId="1" applyNumberFormat="1" applyFont="1" applyFill="1" applyBorder="1">
      <alignment vertical="top"/>
    </xf>
    <xf numFmtId="165" fontId="14" fillId="0" borderId="0" xfId="1" applyNumberFormat="1" applyFont="1" applyFill="1" applyAlignment="1"/>
    <xf numFmtId="165" fontId="14" fillId="0" borderId="0" xfId="1" applyNumberFormat="1" applyFont="1" applyAlignment="1"/>
    <xf numFmtId="164" fontId="0" fillId="0" borderId="0" xfId="1" applyNumberFormat="1" applyFont="1" applyAlignment="1">
      <alignment horizontal="left" vertical="top" wrapText="1"/>
    </xf>
    <xf numFmtId="164" fontId="1" fillId="0" borderId="0" xfId="1" applyNumberFormat="1" applyFont="1" applyAlignment="1">
      <alignment horizontal="left" vertical="top" wrapText="1"/>
    </xf>
    <xf numFmtId="164" fontId="0" fillId="0" borderId="0" xfId="1" applyNumberFormat="1" applyFont="1" applyAlignment="1">
      <alignment vertical="top" wrapText="1"/>
    </xf>
    <xf numFmtId="164" fontId="3" fillId="0" borderId="0" xfId="1" applyNumberFormat="1" applyFont="1" applyBorder="1" applyAlignment="1">
      <alignment horizontal="center" vertical="top"/>
    </xf>
    <xf numFmtId="164" fontId="12" fillId="0" borderId="0" xfId="1" applyNumberFormat="1" applyFont="1" applyFill="1" applyAlignment="1">
      <alignment horizontal="center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autoPageBreaks="0" fitToPage="1"/>
  </sheetPr>
  <dimension ref="A1:N77"/>
  <sheetViews>
    <sheetView zoomScaleNormal="100" workbookViewId="0">
      <selection activeCell="O66" sqref="O66"/>
    </sheetView>
  </sheetViews>
  <sheetFormatPr defaultColWidth="8.7265625" defaultRowHeight="12.75" customHeight="1" x14ac:dyDescent="0.25"/>
  <cols>
    <col min="1" max="1" width="18.81640625" style="7" customWidth="1"/>
    <col min="2" max="2" width="20.54296875" style="5" customWidth="1"/>
    <col min="3" max="3" width="9.1796875" style="25" customWidth="1"/>
    <col min="4" max="4" width="12.1796875" style="2" hidden="1" customWidth="1"/>
    <col min="5" max="5" width="22.1796875" style="5" hidden="1" customWidth="1"/>
    <col min="6" max="6" width="5.26953125" style="2" customWidth="1"/>
    <col min="7" max="7" width="13.1796875" style="2" hidden="1" customWidth="1"/>
    <col min="8" max="8" width="15.26953125" style="30" hidden="1" customWidth="1"/>
    <col min="9" max="9" width="29.7265625" style="2" hidden="1" customWidth="1"/>
    <col min="10" max="10" width="14.1796875" style="30" hidden="1" customWidth="1"/>
    <col min="11" max="11" width="0" hidden="1" customWidth="1"/>
    <col min="12" max="12" width="8.453125" style="102" customWidth="1"/>
    <col min="13" max="13" width="11.26953125" style="101" customWidth="1"/>
    <col min="14" max="14" width="18.81640625" style="2" customWidth="1"/>
    <col min="15" max="230" width="21.453125" style="2" customWidth="1"/>
    <col min="231" max="16384" width="8.7265625" style="2"/>
  </cols>
  <sheetData>
    <row r="1" spans="1:14" s="5" customFormat="1" ht="25" customHeight="1" x14ac:dyDescent="0.25">
      <c r="A1" s="36" t="s">
        <v>0</v>
      </c>
      <c r="B1" s="37"/>
      <c r="D1" s="12"/>
      <c r="E1" s="12"/>
      <c r="F1" s="12"/>
      <c r="G1" s="12"/>
      <c r="H1" s="35" t="s">
        <v>1</v>
      </c>
      <c r="J1" s="35" t="s">
        <v>2</v>
      </c>
      <c r="K1" s="34"/>
      <c r="L1" s="99"/>
      <c r="M1" s="100"/>
    </row>
    <row r="2" spans="1:14" ht="16" customHeight="1" x14ac:dyDescent="0.25">
      <c r="A2" s="87" t="s">
        <v>3</v>
      </c>
      <c r="D2" s="3"/>
      <c r="E2" s="12"/>
      <c r="F2" s="3"/>
      <c r="G2" s="3"/>
      <c r="H2" s="35" t="s">
        <v>4</v>
      </c>
      <c r="J2" s="35" t="s">
        <v>5</v>
      </c>
      <c r="L2" s="99"/>
    </row>
    <row r="3" spans="1:14" s="1" customFormat="1" ht="20.149999999999999" customHeight="1" x14ac:dyDescent="0.25">
      <c r="B3" s="4"/>
      <c r="C3" s="26" t="s">
        <v>6</v>
      </c>
      <c r="D3" s="137"/>
      <c r="E3" s="137"/>
      <c r="F3" s="137"/>
      <c r="G3" s="58"/>
      <c r="H3" s="59" t="s">
        <v>6</v>
      </c>
      <c r="J3" s="59" t="s">
        <v>6</v>
      </c>
      <c r="L3" s="138" t="s">
        <v>7</v>
      </c>
      <c r="M3" s="138"/>
    </row>
    <row r="4" spans="1:14" s="4" customFormat="1" ht="59" customHeight="1" x14ac:dyDescent="0.6">
      <c r="C4" s="111" t="s">
        <v>8</v>
      </c>
      <c r="D4" s="112" t="s">
        <v>9</v>
      </c>
      <c r="E4" s="113"/>
      <c r="F4" s="114"/>
      <c r="G4" s="114"/>
      <c r="H4" s="115" t="s">
        <v>10</v>
      </c>
      <c r="I4" s="116"/>
      <c r="J4" s="115" t="s">
        <v>11</v>
      </c>
      <c r="K4" s="116"/>
      <c r="L4" s="117" t="s">
        <v>12</v>
      </c>
      <c r="M4" s="117" t="s">
        <v>124</v>
      </c>
    </row>
    <row r="5" spans="1:14" ht="13" x14ac:dyDescent="0.25">
      <c r="A5" s="10" t="s">
        <v>13</v>
      </c>
      <c r="B5" s="5" t="s">
        <v>14</v>
      </c>
      <c r="C5" s="60">
        <v>66307</v>
      </c>
      <c r="D5" s="46" t="e">
        <f>+#REF!-#REF!</f>
        <v>#REF!</v>
      </c>
      <c r="E5" s="47"/>
      <c r="F5" s="38"/>
      <c r="G5" s="48"/>
      <c r="H5" s="49">
        <f>+H67-H8</f>
        <v>119071.633</v>
      </c>
      <c r="I5" s="50"/>
      <c r="J5" s="49">
        <f>+J67-J8-J7</f>
        <v>95124.358000000007</v>
      </c>
      <c r="K5" s="51"/>
      <c r="L5" s="102">
        <v>70345</v>
      </c>
      <c r="M5" s="101">
        <v>70345</v>
      </c>
    </row>
    <row r="6" spans="1:14" ht="13" x14ac:dyDescent="0.25">
      <c r="B6" s="37" t="s">
        <v>15</v>
      </c>
      <c r="C6" s="25">
        <v>1290.3499999999999</v>
      </c>
      <c r="D6" s="3" t="e">
        <f>+#REF!-#REF!</f>
        <v>#REF!</v>
      </c>
      <c r="E6" s="15" t="s">
        <v>16</v>
      </c>
      <c r="F6" s="13"/>
      <c r="G6" s="13" t="s">
        <v>17</v>
      </c>
      <c r="I6" s="8"/>
      <c r="M6" s="101">
        <v>335</v>
      </c>
      <c r="N6" s="9" t="s">
        <v>18</v>
      </c>
    </row>
    <row r="7" spans="1:14" ht="25" x14ac:dyDescent="0.25">
      <c r="B7" s="5" t="s">
        <v>19</v>
      </c>
      <c r="C7" s="25">
        <v>1132</v>
      </c>
      <c r="D7" s="3" t="e">
        <f>+#REF!-#REF!</f>
        <v>#REF!</v>
      </c>
      <c r="E7" s="15" t="s">
        <v>20</v>
      </c>
      <c r="F7" s="13"/>
      <c r="G7" s="13"/>
      <c r="H7" s="30">
        <v>500</v>
      </c>
      <c r="J7" s="30">
        <v>500</v>
      </c>
      <c r="L7" s="102">
        <v>500</v>
      </c>
      <c r="M7" s="101">
        <v>461</v>
      </c>
    </row>
    <row r="8" spans="1:14" ht="13" x14ac:dyDescent="0.25">
      <c r="B8" s="5" t="s">
        <v>21</v>
      </c>
      <c r="C8" s="25">
        <v>2045</v>
      </c>
      <c r="D8" s="3" t="e">
        <f>+#REF!-#REF!</f>
        <v>#REF!</v>
      </c>
      <c r="E8" s="15"/>
      <c r="F8" s="13"/>
      <c r="G8" s="13"/>
      <c r="H8" s="30">
        <v>1500</v>
      </c>
      <c r="J8" s="30">
        <v>1500</v>
      </c>
      <c r="L8" s="102">
        <v>1500</v>
      </c>
      <c r="M8" s="101">
        <v>850</v>
      </c>
    </row>
    <row r="9" spans="1:14" ht="13" x14ac:dyDescent="0.25">
      <c r="B9" s="37" t="s">
        <v>22</v>
      </c>
      <c r="C9" s="42">
        <v>60</v>
      </c>
      <c r="D9" s="43" t="e">
        <f>+#REF!-#REF!</f>
        <v>#REF!</v>
      </c>
      <c r="E9" s="43"/>
      <c r="F9" s="44"/>
      <c r="G9" s="44" t="s">
        <v>23</v>
      </c>
      <c r="H9" s="45">
        <v>20</v>
      </c>
      <c r="I9" s="53" t="s">
        <v>24</v>
      </c>
      <c r="J9" s="45">
        <v>20</v>
      </c>
      <c r="L9" s="103">
        <v>20</v>
      </c>
      <c r="M9" s="104">
        <v>60</v>
      </c>
      <c r="N9" s="2" t="s">
        <v>125</v>
      </c>
    </row>
    <row r="10" spans="1:14" ht="13" x14ac:dyDescent="0.25">
      <c r="B10" s="5" t="s">
        <v>25</v>
      </c>
      <c r="C10" s="25">
        <v>20745</v>
      </c>
      <c r="D10" s="3" t="e">
        <f>+#REF!-#REF!</f>
        <v>#REF!</v>
      </c>
      <c r="E10" s="15"/>
      <c r="F10" s="13"/>
      <c r="G10" s="13"/>
      <c r="I10" s="53" t="s">
        <v>26</v>
      </c>
      <c r="M10" s="102"/>
    </row>
    <row r="11" spans="1:14" ht="13.5" thickBot="1" x14ac:dyDescent="0.3">
      <c r="C11" s="28">
        <f>SUM(C5:C10)</f>
        <v>91579.35</v>
      </c>
      <c r="D11" s="19" t="e">
        <f>SUM(D5:D10)</f>
        <v>#REF!</v>
      </c>
      <c r="E11" s="20"/>
      <c r="F11" s="21"/>
      <c r="G11" s="21"/>
      <c r="H11" s="31">
        <f>SUM(H5:H10)</f>
        <v>121091.633</v>
      </c>
      <c r="J11" s="31">
        <f>SUM(J5:J10)</f>
        <v>97144.358000000007</v>
      </c>
      <c r="L11" s="105">
        <f>SUM(L5:L10)</f>
        <v>72365</v>
      </c>
      <c r="M11" s="105">
        <f>SUM(M5:M10)</f>
        <v>72051</v>
      </c>
    </row>
    <row r="12" spans="1:14" ht="13" x14ac:dyDescent="0.25">
      <c r="D12" s="3"/>
      <c r="E12" s="12"/>
      <c r="F12" s="13"/>
      <c r="G12" s="13"/>
    </row>
    <row r="13" spans="1:14" ht="13" x14ac:dyDescent="0.25">
      <c r="A13" s="39" t="s">
        <v>27</v>
      </c>
      <c r="D13" s="3"/>
      <c r="E13" s="12"/>
      <c r="F13" s="13"/>
      <c r="G13" s="13"/>
    </row>
    <row r="14" spans="1:14" ht="13" x14ac:dyDescent="0.25">
      <c r="A14" s="7" t="s">
        <v>28</v>
      </c>
      <c r="B14" s="5" t="s">
        <v>29</v>
      </c>
      <c r="C14" s="25">
        <v>1434</v>
      </c>
      <c r="D14" s="3" t="e">
        <f>+#REF!-#REF!</f>
        <v>#REF!</v>
      </c>
      <c r="E14" s="14"/>
      <c r="F14" s="13"/>
      <c r="G14" s="13"/>
      <c r="H14" s="30">
        <v>1230</v>
      </c>
      <c r="I14" s="54" t="s">
        <v>30</v>
      </c>
      <c r="J14" s="30">
        <v>1230</v>
      </c>
      <c r="L14" s="102">
        <v>1750</v>
      </c>
      <c r="M14" s="101">
        <v>1574</v>
      </c>
    </row>
    <row r="15" spans="1:14" ht="13" x14ac:dyDescent="0.25">
      <c r="B15" s="5" t="s">
        <v>31</v>
      </c>
      <c r="C15" s="25">
        <v>178</v>
      </c>
      <c r="D15" s="3" t="e">
        <f>+#REF!-#REF!</f>
        <v>#REF!</v>
      </c>
      <c r="E15" s="15"/>
      <c r="F15" s="13"/>
      <c r="G15" s="13"/>
      <c r="H15" s="30">
        <v>250</v>
      </c>
      <c r="I15" s="54" t="s">
        <v>32</v>
      </c>
      <c r="J15" s="30">
        <v>250</v>
      </c>
      <c r="L15" s="102">
        <v>200</v>
      </c>
      <c r="M15" s="101">
        <v>60</v>
      </c>
    </row>
    <row r="16" spans="1:14" ht="25" x14ac:dyDescent="0.25">
      <c r="B16" s="5" t="s">
        <v>33</v>
      </c>
      <c r="C16" s="25">
        <v>1085</v>
      </c>
      <c r="D16" s="3" t="e">
        <f>+#REF!-#REF!</f>
        <v>#REF!</v>
      </c>
      <c r="E16" s="14"/>
      <c r="F16" s="13"/>
      <c r="G16" s="13"/>
      <c r="H16" s="30">
        <f>1190*1.075</f>
        <v>1279.25</v>
      </c>
      <c r="I16" s="54" t="s">
        <v>34</v>
      </c>
      <c r="J16" s="30">
        <f>1190*1.075</f>
        <v>1279.25</v>
      </c>
      <c r="L16" s="102">
        <v>1450</v>
      </c>
      <c r="M16" s="101">
        <v>685</v>
      </c>
    </row>
    <row r="17" spans="1:14" ht="13" x14ac:dyDescent="0.25">
      <c r="B17" s="5" t="s">
        <v>126</v>
      </c>
      <c r="C17" s="25">
        <v>223</v>
      </c>
      <c r="D17" s="3" t="e">
        <f>+#REF!-#REF!</f>
        <v>#REF!</v>
      </c>
      <c r="E17" s="12"/>
      <c r="F17" s="13"/>
      <c r="G17" s="13"/>
      <c r="H17" s="30">
        <v>400</v>
      </c>
      <c r="I17" s="55"/>
      <c r="J17" s="30">
        <v>300</v>
      </c>
      <c r="L17" s="102">
        <v>250</v>
      </c>
      <c r="M17" s="101">
        <v>159</v>
      </c>
    </row>
    <row r="18" spans="1:14" ht="31" customHeight="1" x14ac:dyDescent="0.25">
      <c r="A18" s="41"/>
      <c r="B18" s="40" t="s">
        <v>35</v>
      </c>
      <c r="C18" s="42">
        <v>17185</v>
      </c>
      <c r="D18" s="43" t="e">
        <f>+#REF!-#REF!</f>
        <v>#REF!</v>
      </c>
      <c r="E18" s="44" t="s">
        <v>36</v>
      </c>
      <c r="F18" s="44"/>
      <c r="G18" s="44"/>
      <c r="H18" s="45">
        <v>17409</v>
      </c>
      <c r="I18" s="54" t="s">
        <v>37</v>
      </c>
      <c r="J18" s="45">
        <f>+H18</f>
        <v>17409</v>
      </c>
      <c r="L18" s="103">
        <v>17304</v>
      </c>
      <c r="M18" s="104">
        <v>10807</v>
      </c>
    </row>
    <row r="19" spans="1:14" s="37" customFormat="1" ht="25" x14ac:dyDescent="0.25">
      <c r="A19" s="7"/>
      <c r="B19" s="5" t="s">
        <v>38</v>
      </c>
      <c r="C19" s="25">
        <v>3651</v>
      </c>
      <c r="D19" s="3" t="e">
        <f>+#REF!-#REF!</f>
        <v>#REF!</v>
      </c>
      <c r="E19" s="14"/>
      <c r="F19" s="13"/>
      <c r="G19" s="13"/>
      <c r="H19" s="30">
        <f>(17844*1.05)*0.215</f>
        <v>4028.2829999999999</v>
      </c>
      <c r="I19" s="53" t="s">
        <v>39</v>
      </c>
      <c r="J19" s="30">
        <f>(17844*1.05)*0.215</f>
        <v>4028.2829999999999</v>
      </c>
      <c r="K19"/>
      <c r="L19" s="102">
        <v>4076</v>
      </c>
      <c r="M19" s="101">
        <v>2068</v>
      </c>
    </row>
    <row r="20" spans="1:14" ht="13" x14ac:dyDescent="0.25">
      <c r="B20" s="37" t="s">
        <v>40</v>
      </c>
      <c r="C20" s="42">
        <v>2980</v>
      </c>
      <c r="D20" s="43" t="e">
        <f>+#REF!-#REF!</f>
        <v>#REF!</v>
      </c>
      <c r="E20" s="44"/>
      <c r="F20" s="44"/>
      <c r="G20" s="44"/>
      <c r="H20" s="45">
        <f>+H18*0.15</f>
        <v>2611.35</v>
      </c>
      <c r="I20" s="54" t="s">
        <v>41</v>
      </c>
      <c r="J20" s="45">
        <f>+J18*0.15</f>
        <v>2611.35</v>
      </c>
      <c r="L20" s="103">
        <v>3500</v>
      </c>
      <c r="M20" s="104">
        <v>1521</v>
      </c>
    </row>
    <row r="21" spans="1:14" ht="25" x14ac:dyDescent="0.25">
      <c r="B21" s="5" t="s">
        <v>42</v>
      </c>
      <c r="C21" s="25">
        <v>312</v>
      </c>
      <c r="D21" s="3" t="e">
        <f>+#REF!-#REF!</f>
        <v>#REF!</v>
      </c>
      <c r="E21" s="12"/>
      <c r="F21" s="13"/>
      <c r="G21" s="13"/>
      <c r="H21" s="30">
        <f>+F21</f>
        <v>0</v>
      </c>
      <c r="I21" s="54" t="s">
        <v>43</v>
      </c>
      <c r="J21" s="30">
        <v>310</v>
      </c>
      <c r="L21" s="102">
        <v>310</v>
      </c>
      <c r="M21" s="101">
        <v>156</v>
      </c>
    </row>
    <row r="22" spans="1:14" ht="13" x14ac:dyDescent="0.25">
      <c r="B22" s="5" t="s">
        <v>44</v>
      </c>
      <c r="C22" s="25">
        <v>131</v>
      </c>
      <c r="D22" s="3" t="e">
        <f>+#REF!-#REF!</f>
        <v>#REF!</v>
      </c>
      <c r="E22" s="12"/>
      <c r="F22" s="13"/>
      <c r="G22" s="13"/>
      <c r="H22" s="30">
        <v>200</v>
      </c>
      <c r="I22" s="55"/>
      <c r="J22" s="30">
        <v>200</v>
      </c>
      <c r="L22" s="102">
        <v>155</v>
      </c>
      <c r="M22" s="101">
        <v>82</v>
      </c>
    </row>
    <row r="23" spans="1:14" ht="13" x14ac:dyDescent="0.25">
      <c r="B23" s="5" t="s">
        <v>45</v>
      </c>
      <c r="C23" s="25">
        <v>353</v>
      </c>
      <c r="D23" s="3" t="e">
        <f>+#REF!-#REF!</f>
        <v>#REF!</v>
      </c>
      <c r="E23" s="14"/>
      <c r="F23" s="13"/>
      <c r="G23" s="13"/>
      <c r="H23" s="30">
        <v>350</v>
      </c>
      <c r="I23" s="54" t="s">
        <v>46</v>
      </c>
      <c r="J23" s="30">
        <v>370</v>
      </c>
      <c r="L23" s="102">
        <v>385</v>
      </c>
      <c r="M23" s="101">
        <v>387</v>
      </c>
    </row>
    <row r="24" spans="1:14" ht="13" x14ac:dyDescent="0.25">
      <c r="B24" s="5" t="s">
        <v>47</v>
      </c>
      <c r="C24" s="25">
        <v>90</v>
      </c>
      <c r="D24" s="3" t="e">
        <f>+#REF!-#REF!</f>
        <v>#REF!</v>
      </c>
      <c r="E24" s="15"/>
      <c r="F24" s="13"/>
      <c r="G24" s="13"/>
      <c r="H24" s="30">
        <v>750</v>
      </c>
      <c r="I24" s="53"/>
      <c r="J24" s="30">
        <v>750</v>
      </c>
      <c r="L24" s="102">
        <v>750</v>
      </c>
      <c r="M24" s="101">
        <v>170</v>
      </c>
    </row>
    <row r="25" spans="1:14" ht="13" x14ac:dyDescent="0.25">
      <c r="B25" s="8" t="s">
        <v>48</v>
      </c>
      <c r="C25" s="25">
        <v>515</v>
      </c>
      <c r="D25" s="3" t="e">
        <f>+#REF!-#REF!</f>
        <v>#REF!</v>
      </c>
      <c r="E25" s="15"/>
      <c r="F25" s="13"/>
      <c r="G25" s="13"/>
      <c r="H25" s="30">
        <v>500</v>
      </c>
      <c r="I25" s="53"/>
      <c r="J25" s="30">
        <v>500</v>
      </c>
      <c r="L25" s="102">
        <v>550</v>
      </c>
      <c r="M25" s="101">
        <v>229</v>
      </c>
    </row>
    <row r="26" spans="1:14" ht="15" customHeight="1" x14ac:dyDescent="0.25">
      <c r="B26" s="5" t="s">
        <v>49</v>
      </c>
      <c r="C26" s="25">
        <v>564</v>
      </c>
      <c r="D26" s="3" t="e">
        <f>+#REF!-#REF!</f>
        <v>#REF!</v>
      </c>
      <c r="E26" s="15"/>
      <c r="F26" s="13"/>
      <c r="G26" s="13"/>
      <c r="H26" s="30">
        <v>500</v>
      </c>
      <c r="I26" s="53"/>
      <c r="J26" s="30">
        <v>500</v>
      </c>
      <c r="L26" s="102">
        <v>1450</v>
      </c>
      <c r="M26" s="101">
        <v>701</v>
      </c>
    </row>
    <row r="27" spans="1:14" ht="25" x14ac:dyDescent="0.25">
      <c r="B27" s="5" t="s">
        <v>50</v>
      </c>
      <c r="C27" s="25">
        <v>802</v>
      </c>
      <c r="D27" s="3" t="e">
        <f>+#REF!-#REF!</f>
        <v>#REF!</v>
      </c>
      <c r="E27" s="15"/>
      <c r="F27" s="13"/>
      <c r="G27" s="13"/>
      <c r="H27" s="30">
        <f>800*1.075</f>
        <v>860</v>
      </c>
      <c r="I27" s="53" t="s">
        <v>51</v>
      </c>
      <c r="J27" s="30">
        <f>800*1.075</f>
        <v>860</v>
      </c>
      <c r="L27" s="102">
        <v>950</v>
      </c>
      <c r="M27" s="101">
        <v>418</v>
      </c>
    </row>
    <row r="28" spans="1:14" ht="13" x14ac:dyDescent="0.25">
      <c r="B28" s="8" t="s">
        <v>52</v>
      </c>
      <c r="D28" s="3"/>
      <c r="E28" s="15"/>
      <c r="F28" s="13"/>
      <c r="G28" s="13"/>
      <c r="I28" s="53"/>
      <c r="M28" s="101">
        <v>31</v>
      </c>
    </row>
    <row r="29" spans="1:14" ht="13" x14ac:dyDescent="0.25">
      <c r="B29" s="5" t="s">
        <v>53</v>
      </c>
      <c r="C29" s="25">
        <v>272</v>
      </c>
      <c r="D29" s="3" t="e">
        <f>+#REF!-#REF!</f>
        <v>#REF!</v>
      </c>
      <c r="E29" s="15"/>
      <c r="F29" s="13"/>
      <c r="G29" s="13"/>
      <c r="H29" s="30">
        <f>250*1.075</f>
        <v>268.75</v>
      </c>
      <c r="I29" s="53" t="s">
        <v>51</v>
      </c>
      <c r="J29" s="30">
        <v>270</v>
      </c>
      <c r="L29" s="102">
        <v>300</v>
      </c>
      <c r="M29" s="102">
        <v>136</v>
      </c>
    </row>
    <row r="30" spans="1:14" ht="13" x14ac:dyDescent="0.25">
      <c r="B30" s="5" t="s">
        <v>54</v>
      </c>
      <c r="C30" s="25">
        <v>5140</v>
      </c>
      <c r="D30" s="3" t="e">
        <f>+#REF!-#REF!</f>
        <v>#REF!</v>
      </c>
      <c r="E30" s="12"/>
      <c r="F30" s="13"/>
      <c r="G30" s="13"/>
      <c r="H30" s="30">
        <v>5140</v>
      </c>
      <c r="I30" s="53"/>
      <c r="J30" s="30">
        <v>5140</v>
      </c>
      <c r="L30" s="102">
        <v>5140</v>
      </c>
      <c r="M30" s="102">
        <v>2569</v>
      </c>
    </row>
    <row r="31" spans="1:14" ht="13.5" thickBot="1" x14ac:dyDescent="0.3">
      <c r="C31" s="28">
        <f>SUM(C14:C30)</f>
        <v>34915</v>
      </c>
      <c r="D31" s="19" t="e">
        <f>SUM(D14:D30)</f>
        <v>#REF!</v>
      </c>
      <c r="E31" s="19">
        <f>SUM(E14:E30)</f>
        <v>0</v>
      </c>
      <c r="F31" s="3"/>
      <c r="G31" s="19"/>
      <c r="H31" s="128">
        <f>SUM(H14:H30)</f>
        <v>35776.633000000002</v>
      </c>
      <c r="I31" s="129"/>
      <c r="J31" s="128">
        <f>SUM(J14:J30)</f>
        <v>36007.883000000002</v>
      </c>
      <c r="K31" s="130"/>
      <c r="L31" s="105">
        <f>SUM(L14:L30)</f>
        <v>38520</v>
      </c>
      <c r="M31" s="105">
        <f>SUM(M14:M30)</f>
        <v>21753</v>
      </c>
      <c r="N31" s="3"/>
    </row>
    <row r="32" spans="1:14" ht="13" x14ac:dyDescent="0.25">
      <c r="D32" s="3"/>
      <c r="E32" s="12"/>
      <c r="F32" s="13"/>
      <c r="G32" s="13"/>
      <c r="I32" s="53"/>
    </row>
    <row r="33" spans="1:14" ht="26" x14ac:dyDescent="0.25">
      <c r="A33" s="62" t="s">
        <v>55</v>
      </c>
      <c r="B33" s="5" t="s">
        <v>56</v>
      </c>
      <c r="C33" s="118">
        <v>5616</v>
      </c>
      <c r="D33" s="3" t="e">
        <f>+#REF!-#REF!</f>
        <v>#REF!</v>
      </c>
      <c r="E33" s="15"/>
      <c r="F33" s="13"/>
      <c r="G33" s="13"/>
      <c r="H33" s="30">
        <v>8100</v>
      </c>
      <c r="I33" s="55" t="s">
        <v>57</v>
      </c>
      <c r="J33" s="30">
        <v>8100</v>
      </c>
      <c r="L33" s="102">
        <v>7150</v>
      </c>
      <c r="M33" s="102">
        <v>4212</v>
      </c>
      <c r="N33" s="5"/>
    </row>
    <row r="34" spans="1:14" ht="13" x14ac:dyDescent="0.25">
      <c r="B34" s="5" t="s">
        <v>58</v>
      </c>
      <c r="C34" s="119">
        <v>1440</v>
      </c>
      <c r="D34" s="3" t="e">
        <f>+#REF!-#REF!</f>
        <v>#REF!</v>
      </c>
      <c r="E34" s="12"/>
      <c r="F34" s="13"/>
      <c r="G34" s="13"/>
      <c r="H34" s="30">
        <f>30*52</f>
        <v>1560</v>
      </c>
      <c r="I34" s="57" t="s">
        <v>59</v>
      </c>
      <c r="J34" s="30">
        <f>30*52</f>
        <v>1560</v>
      </c>
      <c r="L34" s="102">
        <v>1600</v>
      </c>
      <c r="M34" s="101">
        <v>840</v>
      </c>
    </row>
    <row r="35" spans="1:14" s="5" customFormat="1" ht="26" customHeight="1" x14ac:dyDescent="0.25">
      <c r="A35" s="11"/>
      <c r="B35" s="5" t="s">
        <v>60</v>
      </c>
      <c r="C35" s="120">
        <v>1310</v>
      </c>
      <c r="D35" s="12" t="e">
        <f>+#REF!-#REF!</f>
        <v>#REF!</v>
      </c>
      <c r="E35" s="12"/>
      <c r="F35" s="15"/>
      <c r="G35" s="15"/>
      <c r="H35" s="35">
        <v>1500</v>
      </c>
      <c r="I35" s="52"/>
      <c r="J35" s="35">
        <v>1000</v>
      </c>
      <c r="K35" s="34"/>
      <c r="L35" s="99">
        <v>2500</v>
      </c>
      <c r="M35" s="100">
        <v>2453</v>
      </c>
    </row>
    <row r="36" spans="1:14" ht="12.5" x14ac:dyDescent="0.25">
      <c r="A36" s="37"/>
      <c r="B36" s="5" t="s">
        <v>61</v>
      </c>
      <c r="C36" s="119"/>
      <c r="D36" s="3" t="e">
        <f>+#REF!-#REF!</f>
        <v>#REF!</v>
      </c>
      <c r="E36" s="12"/>
      <c r="F36" s="13"/>
      <c r="G36" s="13"/>
      <c r="H36" s="30">
        <v>10</v>
      </c>
      <c r="I36" s="53"/>
      <c r="J36" s="30">
        <v>10</v>
      </c>
      <c r="L36" s="102">
        <v>10</v>
      </c>
    </row>
    <row r="37" spans="1:14" ht="25" x14ac:dyDescent="0.25">
      <c r="B37" s="8" t="s">
        <v>62</v>
      </c>
      <c r="C37" s="121">
        <v>879</v>
      </c>
      <c r="D37" s="3" t="e">
        <f>+#REF!-#REF!</f>
        <v>#REF!</v>
      </c>
      <c r="E37" s="12"/>
      <c r="F37" s="13"/>
      <c r="G37" s="13"/>
      <c r="H37" s="30">
        <v>200</v>
      </c>
      <c r="I37" s="56" t="s">
        <v>63</v>
      </c>
      <c r="J37" s="30">
        <f>171*1.075+(85*4)</f>
        <v>523.82500000000005</v>
      </c>
      <c r="L37" s="102">
        <v>525</v>
      </c>
      <c r="M37" s="104">
        <v>85</v>
      </c>
      <c r="N37" s="5"/>
    </row>
    <row r="38" spans="1:14" ht="13" x14ac:dyDescent="0.25">
      <c r="A38" s="6"/>
      <c r="B38" s="37" t="s">
        <v>64</v>
      </c>
      <c r="C38" s="118">
        <v>1822</v>
      </c>
      <c r="D38" s="43" t="e">
        <f>+#REF!-#REF!</f>
        <v>#REF!</v>
      </c>
      <c r="E38" s="43" t="s">
        <v>65</v>
      </c>
      <c r="F38" s="44"/>
      <c r="G38" s="44"/>
      <c r="H38" s="45">
        <v>755</v>
      </c>
      <c r="I38" s="54" t="s">
        <v>51</v>
      </c>
      <c r="J38" s="45">
        <v>755</v>
      </c>
      <c r="L38" s="103">
        <v>1100</v>
      </c>
      <c r="M38" s="102">
        <v>477</v>
      </c>
    </row>
    <row r="39" spans="1:14" s="37" customFormat="1" ht="15" customHeight="1" x14ac:dyDescent="0.25">
      <c r="A39" s="6"/>
      <c r="B39" s="40" t="s">
        <v>66</v>
      </c>
      <c r="C39" s="122">
        <v>2340</v>
      </c>
      <c r="D39" s="43"/>
      <c r="E39" s="43"/>
      <c r="F39" s="44"/>
      <c r="G39" s="44"/>
      <c r="H39" s="45"/>
      <c r="I39" s="53"/>
      <c r="J39" s="45"/>
      <c r="K39"/>
      <c r="L39" s="103"/>
      <c r="M39" s="103"/>
    </row>
    <row r="40" spans="1:14" ht="13" x14ac:dyDescent="0.25">
      <c r="B40" s="5" t="s">
        <v>67</v>
      </c>
      <c r="C40" s="119">
        <v>3</v>
      </c>
      <c r="D40" s="3" t="e">
        <f>+#REF!-#REF!</f>
        <v>#REF!</v>
      </c>
      <c r="E40" s="12"/>
      <c r="F40" s="13"/>
      <c r="G40" s="13"/>
      <c r="H40" s="30">
        <v>10</v>
      </c>
      <c r="I40" s="53"/>
      <c r="J40" s="30">
        <v>10</v>
      </c>
      <c r="L40" s="102">
        <v>10</v>
      </c>
      <c r="M40" s="101">
        <v>1</v>
      </c>
    </row>
    <row r="41" spans="1:14" ht="13" x14ac:dyDescent="0.25">
      <c r="B41" s="8" t="s">
        <v>68</v>
      </c>
      <c r="C41" s="119"/>
      <c r="D41" s="3"/>
      <c r="E41" s="12"/>
      <c r="F41" s="13"/>
      <c r="G41" s="13"/>
      <c r="I41" s="53"/>
      <c r="M41" s="101">
        <v>294</v>
      </c>
      <c r="N41" s="9" t="s">
        <v>69</v>
      </c>
    </row>
    <row r="42" spans="1:14" ht="13" x14ac:dyDescent="0.25">
      <c r="A42" s="10"/>
      <c r="B42" s="8" t="s">
        <v>70</v>
      </c>
      <c r="C42" s="119">
        <v>524</v>
      </c>
      <c r="D42" s="3"/>
      <c r="E42" s="14"/>
      <c r="F42" s="13"/>
      <c r="G42" s="13"/>
      <c r="I42" s="54"/>
      <c r="L42" s="102">
        <v>550</v>
      </c>
      <c r="M42" s="101">
        <v>524</v>
      </c>
    </row>
    <row r="43" spans="1:14" ht="13.5" thickBot="1" x14ac:dyDescent="0.3">
      <c r="C43" s="131">
        <f>SUM(C33:C42)</f>
        <v>13934</v>
      </c>
      <c r="D43" s="19" t="e">
        <f>SUM(D33:D40)</f>
        <v>#REF!</v>
      </c>
      <c r="E43" s="20"/>
      <c r="F43" s="13"/>
      <c r="G43" s="21"/>
      <c r="H43" s="128">
        <f>SUM(H33:H40)</f>
        <v>12135</v>
      </c>
      <c r="I43" s="129"/>
      <c r="J43" s="128">
        <f>SUM(J33:J40)</f>
        <v>11958.825000000001</v>
      </c>
      <c r="K43" s="130"/>
      <c r="L43" s="105">
        <f>SUM(L33:L42)</f>
        <v>13445</v>
      </c>
      <c r="M43" s="105">
        <f>SUM(M33:M42)</f>
        <v>8886</v>
      </c>
      <c r="N43" s="3"/>
    </row>
    <row r="44" spans="1:14" ht="13" x14ac:dyDescent="0.25">
      <c r="D44" s="3"/>
      <c r="E44" s="12"/>
      <c r="F44" s="13"/>
      <c r="G44" s="13"/>
      <c r="I44" s="53"/>
    </row>
    <row r="45" spans="1:14" s="37" customFormat="1" ht="30.5" customHeight="1" x14ac:dyDescent="0.25">
      <c r="A45" s="6" t="s">
        <v>71</v>
      </c>
      <c r="B45" s="40" t="s">
        <v>72</v>
      </c>
      <c r="C45" s="121">
        <v>5063</v>
      </c>
      <c r="D45" s="43" t="e">
        <f>+#REF!-#REF!</f>
        <v>#REF!</v>
      </c>
      <c r="E45" s="43" t="s">
        <v>73</v>
      </c>
      <c r="F45" s="44"/>
      <c r="G45" s="44" t="s">
        <v>74</v>
      </c>
      <c r="H45" s="45">
        <v>5000</v>
      </c>
      <c r="I45" s="53"/>
      <c r="J45" s="45">
        <v>3700</v>
      </c>
      <c r="K45"/>
      <c r="L45" s="103">
        <v>5500</v>
      </c>
      <c r="M45" s="104">
        <v>1272</v>
      </c>
    </row>
    <row r="46" spans="1:14" s="37" customFormat="1" ht="26" customHeight="1" x14ac:dyDescent="0.25">
      <c r="A46" s="6"/>
      <c r="B46" s="8" t="s">
        <v>75</v>
      </c>
      <c r="C46" s="118">
        <v>693</v>
      </c>
      <c r="D46" s="3"/>
      <c r="E46" s="12"/>
      <c r="F46" s="13"/>
      <c r="G46" s="15" t="s">
        <v>76</v>
      </c>
      <c r="H46" s="30">
        <v>10000</v>
      </c>
      <c r="I46" s="53"/>
      <c r="J46" s="30">
        <v>4500</v>
      </c>
      <c r="K46"/>
      <c r="L46" s="102">
        <v>2500</v>
      </c>
      <c r="M46" s="102">
        <v>1430</v>
      </c>
    </row>
    <row r="47" spans="1:14" s="37" customFormat="1" ht="25" customHeight="1" x14ac:dyDescent="0.25">
      <c r="A47" s="6"/>
      <c r="B47" s="8" t="s">
        <v>77</v>
      </c>
      <c r="C47" s="118">
        <v>1113</v>
      </c>
      <c r="D47" s="3"/>
      <c r="E47" s="12"/>
      <c r="F47" s="13"/>
      <c r="G47" s="15"/>
      <c r="H47" s="30"/>
      <c r="I47" s="53"/>
      <c r="J47" s="30"/>
      <c r="K47"/>
      <c r="L47" s="102"/>
      <c r="M47" s="102">
        <v>708</v>
      </c>
    </row>
    <row r="48" spans="1:14" ht="13" x14ac:dyDescent="0.25">
      <c r="A48" s="6"/>
      <c r="B48" s="8" t="s">
        <v>78</v>
      </c>
      <c r="C48" s="118">
        <v>6939</v>
      </c>
      <c r="D48" s="3"/>
      <c r="E48" s="12"/>
      <c r="F48" s="13"/>
      <c r="G48" s="13"/>
      <c r="I48" s="53" t="s">
        <v>79</v>
      </c>
      <c r="L48" s="102">
        <v>600</v>
      </c>
      <c r="M48" s="102"/>
    </row>
    <row r="49" spans="1:14" s="5" customFormat="1" ht="13" x14ac:dyDescent="0.25">
      <c r="A49" s="62"/>
      <c r="B49" s="37" t="s">
        <v>80</v>
      </c>
      <c r="C49" s="122">
        <v>31</v>
      </c>
      <c r="D49" s="43" t="e">
        <f>+#REF!-#REF!</f>
        <v>#REF!</v>
      </c>
      <c r="E49" s="43"/>
      <c r="F49" s="44"/>
      <c r="G49" s="44" t="s">
        <v>81</v>
      </c>
      <c r="H49" s="45">
        <v>1000</v>
      </c>
      <c r="I49" s="54"/>
      <c r="J49" s="45">
        <v>1000</v>
      </c>
      <c r="K49"/>
      <c r="L49" s="103">
        <v>600</v>
      </c>
      <c r="M49" s="103">
        <v>435</v>
      </c>
    </row>
    <row r="50" spans="1:14" ht="13.5" thickBot="1" x14ac:dyDescent="0.3">
      <c r="B50" s="8" t="s">
        <v>82</v>
      </c>
      <c r="D50" s="3" t="e">
        <f>+#REF!-#REF!</f>
        <v>#REF!</v>
      </c>
      <c r="E50" s="12"/>
      <c r="F50" s="13"/>
      <c r="G50" s="2" t="s">
        <v>83</v>
      </c>
      <c r="H50" s="30">
        <v>1000</v>
      </c>
      <c r="I50" s="54" t="s">
        <v>84</v>
      </c>
      <c r="J50" s="30">
        <v>1000</v>
      </c>
      <c r="L50" s="102">
        <v>600</v>
      </c>
      <c r="M50" s="107"/>
    </row>
    <row r="51" spans="1:14" ht="13.5" thickTop="1" x14ac:dyDescent="0.25">
      <c r="C51" s="27">
        <f>SUM(C45:C50)</f>
        <v>13839</v>
      </c>
      <c r="D51" s="22" t="e">
        <f>SUM(D45:D50)</f>
        <v>#REF!</v>
      </c>
      <c r="E51" s="23"/>
      <c r="F51" s="24"/>
      <c r="G51" s="24"/>
      <c r="H51" s="32">
        <f>SUM(H45:H50)</f>
        <v>17000</v>
      </c>
      <c r="I51" s="53"/>
      <c r="J51" s="32">
        <f>SUM(J45:J50)</f>
        <v>10200</v>
      </c>
      <c r="L51" s="106">
        <f>SUM(L45:L50)</f>
        <v>9800</v>
      </c>
      <c r="M51" s="106">
        <f>SUM(M45:M50)</f>
        <v>3845</v>
      </c>
    </row>
    <row r="52" spans="1:14" ht="13" x14ac:dyDescent="0.25">
      <c r="D52" s="3"/>
      <c r="E52" s="12"/>
      <c r="F52" s="13"/>
      <c r="G52" s="13"/>
      <c r="I52" s="53"/>
    </row>
    <row r="53" spans="1:14" s="37" customFormat="1" ht="13" x14ac:dyDescent="0.25">
      <c r="A53" s="7"/>
      <c r="B53" s="5"/>
      <c r="C53" s="25"/>
      <c r="D53" s="3"/>
      <c r="E53" s="12"/>
      <c r="F53" s="13"/>
      <c r="G53" s="13"/>
      <c r="H53" s="30"/>
      <c r="I53" s="53"/>
      <c r="J53" s="30"/>
      <c r="K53"/>
      <c r="L53" s="102"/>
      <c r="M53" s="101"/>
    </row>
    <row r="54" spans="1:14" ht="13" x14ac:dyDescent="0.25">
      <c r="A54" s="6" t="s">
        <v>85</v>
      </c>
      <c r="B54" s="5" t="s">
        <v>86</v>
      </c>
      <c r="C54" s="119">
        <v>1376</v>
      </c>
      <c r="D54" s="3" t="e">
        <f>+#REF!-#REF!</f>
        <v>#REF!</v>
      </c>
      <c r="E54" s="16"/>
      <c r="F54" s="13"/>
      <c r="G54" s="13"/>
      <c r="H54" s="30">
        <v>1200</v>
      </c>
      <c r="I54" s="53"/>
      <c r="J54" s="30">
        <v>1200</v>
      </c>
      <c r="L54" s="102">
        <v>1500</v>
      </c>
      <c r="M54" s="101">
        <v>1334</v>
      </c>
    </row>
    <row r="55" spans="1:14" ht="13" x14ac:dyDescent="0.25">
      <c r="B55" s="37" t="s">
        <v>87</v>
      </c>
      <c r="C55" s="121">
        <v>42</v>
      </c>
      <c r="D55" s="43" t="e">
        <f>+#REF!-#REF!</f>
        <v>#REF!</v>
      </c>
      <c r="E55" s="43"/>
      <c r="F55" s="44"/>
      <c r="G55" s="44"/>
      <c r="H55" s="45">
        <v>100</v>
      </c>
      <c r="I55" s="53"/>
      <c r="J55" s="45">
        <v>100</v>
      </c>
      <c r="L55" s="103">
        <v>100</v>
      </c>
      <c r="M55" s="104"/>
    </row>
    <row r="56" spans="1:14" ht="13" x14ac:dyDescent="0.25">
      <c r="B56" s="37" t="s">
        <v>88</v>
      </c>
      <c r="C56" s="121">
        <v>367</v>
      </c>
      <c r="D56" s="43" t="e">
        <f>+#REF!-#REF!</f>
        <v>#REF!</v>
      </c>
      <c r="E56" s="63"/>
      <c r="F56" s="44"/>
      <c r="G56" s="44"/>
      <c r="H56" s="45">
        <v>450</v>
      </c>
      <c r="I56" s="54" t="s">
        <v>89</v>
      </c>
      <c r="J56" s="45">
        <v>450</v>
      </c>
      <c r="L56" s="103">
        <v>450</v>
      </c>
      <c r="M56" s="104">
        <v>270</v>
      </c>
    </row>
    <row r="57" spans="1:14" ht="13" x14ac:dyDescent="0.25">
      <c r="B57" s="37" t="s">
        <v>90</v>
      </c>
      <c r="C57" s="119">
        <v>23</v>
      </c>
      <c r="D57" s="3" t="e">
        <f>+#REF!-#REF!</f>
        <v>#REF!</v>
      </c>
      <c r="E57" s="12"/>
      <c r="F57" s="13"/>
      <c r="G57" s="13"/>
      <c r="H57" s="30">
        <v>50</v>
      </c>
      <c r="I57" s="53"/>
      <c r="J57" s="30">
        <v>50</v>
      </c>
      <c r="L57" s="102">
        <v>50</v>
      </c>
      <c r="M57" s="101">
        <v>10</v>
      </c>
    </row>
    <row r="58" spans="1:14" ht="25" x14ac:dyDescent="0.25">
      <c r="B58" s="5" t="s">
        <v>91</v>
      </c>
      <c r="C58" s="122">
        <f>2620+612</f>
        <v>3232</v>
      </c>
      <c r="D58" s="43" t="e">
        <f>+#REF!-#REF!</f>
        <v>#REF!</v>
      </c>
      <c r="E58" s="44"/>
      <c r="F58" s="44"/>
      <c r="G58" s="44" t="s">
        <v>92</v>
      </c>
      <c r="H58" s="45">
        <v>5000</v>
      </c>
      <c r="I58" s="54"/>
      <c r="J58" s="45">
        <v>3000</v>
      </c>
      <c r="L58" s="103">
        <v>3000</v>
      </c>
      <c r="M58" s="103">
        <v>5725</v>
      </c>
      <c r="N58" s="8" t="s">
        <v>93</v>
      </c>
    </row>
    <row r="59" spans="1:14" ht="13" x14ac:dyDescent="0.25">
      <c r="A59" s="41"/>
      <c r="B59" s="40" t="s">
        <v>94</v>
      </c>
      <c r="C59" s="122"/>
      <c r="D59" s="43" t="e">
        <f>+#REF!-#REF!</f>
        <v>#REF!</v>
      </c>
      <c r="E59" s="17" t="s">
        <v>95</v>
      </c>
      <c r="F59" s="44"/>
      <c r="G59" s="44" t="s">
        <v>96</v>
      </c>
      <c r="H59" s="45"/>
      <c r="I59" s="54" t="s">
        <v>97</v>
      </c>
      <c r="J59" s="61"/>
      <c r="K59" s="51"/>
      <c r="L59" s="103">
        <v>5000</v>
      </c>
      <c r="M59" s="103"/>
    </row>
    <row r="60" spans="1:14" ht="13" x14ac:dyDescent="0.25">
      <c r="B60" s="5" t="s">
        <v>98</v>
      </c>
      <c r="C60" s="118"/>
      <c r="D60" s="3" t="e">
        <f>+#REF!-#REF!</f>
        <v>#REF!</v>
      </c>
      <c r="E60" s="12"/>
      <c r="F60" s="13"/>
      <c r="G60" s="13"/>
      <c r="H60" s="30">
        <v>1000</v>
      </c>
      <c r="I60" s="53"/>
      <c r="J60" s="30">
        <v>500</v>
      </c>
      <c r="L60" s="102">
        <v>500</v>
      </c>
      <c r="M60" s="102"/>
    </row>
    <row r="61" spans="1:14" ht="13" x14ac:dyDescent="0.25">
      <c r="B61" s="5" t="s">
        <v>99</v>
      </c>
      <c r="C61" s="118">
        <v>16553</v>
      </c>
      <c r="D61" s="3" t="e">
        <f>+#REF!-#REF!</f>
        <v>#REF!</v>
      </c>
      <c r="E61" s="14" t="s">
        <v>73</v>
      </c>
      <c r="F61" s="13"/>
      <c r="G61" s="13"/>
      <c r="H61" s="30">
        <v>750</v>
      </c>
      <c r="I61" s="52" t="s">
        <v>100</v>
      </c>
      <c r="J61" s="30">
        <v>0</v>
      </c>
      <c r="M61" s="102">
        <f>15166+13442</f>
        <v>28608</v>
      </c>
      <c r="N61" s="5" t="s">
        <v>128</v>
      </c>
    </row>
    <row r="62" spans="1:14" ht="13.5" thickBot="1" x14ac:dyDescent="0.3">
      <c r="C62" s="28">
        <f>SUM(C54:C61)</f>
        <v>21593</v>
      </c>
      <c r="D62" s="19" t="e">
        <f>SUM(D36:D61)</f>
        <v>#REF!</v>
      </c>
      <c r="E62" s="20"/>
      <c r="F62" s="13"/>
      <c r="G62" s="21"/>
      <c r="H62" s="128">
        <f>SUM(H36:H61)</f>
        <v>55660</v>
      </c>
      <c r="I62" s="129"/>
      <c r="J62" s="128">
        <f>SUM(J36:J61)</f>
        <v>38957.65</v>
      </c>
      <c r="K62" s="130"/>
      <c r="L62" s="105">
        <f>SUM(L54:L61)</f>
        <v>10600</v>
      </c>
      <c r="M62" s="105">
        <f>SUM(M54:M61)</f>
        <v>35947</v>
      </c>
      <c r="N62" s="3"/>
    </row>
    <row r="63" spans="1:14" ht="13" x14ac:dyDescent="0.25">
      <c r="D63" s="3"/>
      <c r="E63" s="12"/>
      <c r="F63" s="13"/>
      <c r="G63" s="13"/>
      <c r="I63" s="53"/>
      <c r="M63" s="102"/>
    </row>
    <row r="64" spans="1:14" ht="13" x14ac:dyDescent="0.25">
      <c r="C64" s="29"/>
      <c r="D64" s="3"/>
      <c r="E64" s="12"/>
      <c r="F64" s="13"/>
      <c r="G64" s="13"/>
      <c r="I64" s="53"/>
      <c r="M64" s="102"/>
    </row>
    <row r="65" spans="2:14" ht="13" x14ac:dyDescent="0.25">
      <c r="B65" s="41" t="s">
        <v>101</v>
      </c>
      <c r="C65" s="64">
        <f>+C43+C62+C51+C31</f>
        <v>84281</v>
      </c>
      <c r="D65" s="43"/>
      <c r="E65" s="17" t="s">
        <v>102</v>
      </c>
      <c r="F65" s="44"/>
      <c r="G65" s="44"/>
      <c r="H65" s="65">
        <f>+H43+H62+H51+H31</f>
        <v>120571.633</v>
      </c>
      <c r="I65" s="54" t="s">
        <v>103</v>
      </c>
      <c r="J65" s="65">
        <f>+J43+J62+J51+J31</f>
        <v>97124.358000000007</v>
      </c>
      <c r="L65" s="108">
        <f>+L43+L62+L51+L31</f>
        <v>72365</v>
      </c>
      <c r="M65" s="108">
        <f>+M43+M62+M51+M31</f>
        <v>70431</v>
      </c>
    </row>
    <row r="66" spans="2:14" ht="20.149999999999999" customHeight="1" x14ac:dyDescent="0.3">
      <c r="B66" s="66" t="s">
        <v>104</v>
      </c>
      <c r="C66" s="67">
        <v>-25658</v>
      </c>
      <c r="D66" s="68"/>
      <c r="E66" s="69" t="s">
        <v>105</v>
      </c>
      <c r="F66" s="70"/>
      <c r="G66" s="71"/>
      <c r="H66" s="72"/>
      <c r="I66" s="73"/>
      <c r="J66" s="72"/>
      <c r="K66" s="74"/>
      <c r="L66" s="109"/>
      <c r="M66" s="110">
        <f>-((+M58-L58)+M41+M61)</f>
        <v>-31627</v>
      </c>
    </row>
    <row r="67" spans="2:14" ht="29.5" customHeight="1" x14ac:dyDescent="0.25">
      <c r="B67" s="75" t="s">
        <v>106</v>
      </c>
      <c r="C67" s="76">
        <f>+C65+C66</f>
        <v>58623</v>
      </c>
      <c r="D67" s="77">
        <f>+D65+D66</f>
        <v>0</v>
      </c>
      <c r="E67" s="77" t="e">
        <f>+E65+E66</f>
        <v>#VALUE!</v>
      </c>
      <c r="F67" s="77"/>
      <c r="G67" s="76"/>
      <c r="H67" s="78">
        <f>+H65+H66</f>
        <v>120571.633</v>
      </c>
      <c r="I67" s="73"/>
      <c r="J67" s="78">
        <f>+J65+J66</f>
        <v>97124.358000000007</v>
      </c>
      <c r="K67" s="74"/>
      <c r="L67" s="109">
        <f>+L65+L66</f>
        <v>72365</v>
      </c>
      <c r="M67" s="109">
        <f>+M65+M66</f>
        <v>38804</v>
      </c>
    </row>
    <row r="68" spans="2:14" ht="12.75" customHeight="1" x14ac:dyDescent="0.25">
      <c r="B68" s="8"/>
      <c r="D68" s="3"/>
      <c r="E68" s="18" t="s">
        <v>107</v>
      </c>
      <c r="F68" s="13"/>
      <c r="G68" s="13"/>
    </row>
    <row r="69" spans="2:14" ht="23.15" customHeight="1" x14ac:dyDescent="0.25">
      <c r="B69" s="8" t="s">
        <v>108</v>
      </c>
      <c r="F69" s="9"/>
      <c r="G69" s="9"/>
      <c r="M69" s="123">
        <f>+M67/L67</f>
        <v>0.53622607614178119</v>
      </c>
      <c r="N69" s="8" t="s">
        <v>127</v>
      </c>
    </row>
    <row r="70" spans="2:14" ht="12.75" customHeight="1" x14ac:dyDescent="0.25">
      <c r="B70" s="8"/>
    </row>
    <row r="71" spans="2:14" ht="12.75" customHeight="1" x14ac:dyDescent="0.25">
      <c r="B71" s="8"/>
      <c r="H71" s="33"/>
      <c r="I71" s="9"/>
      <c r="J71" s="33"/>
    </row>
    <row r="72" spans="2:14" ht="12.75" customHeight="1" x14ac:dyDescent="0.25">
      <c r="B72" s="8"/>
      <c r="H72" s="33"/>
      <c r="J72" s="33"/>
    </row>
    <row r="73" spans="2:14" ht="12.75" customHeight="1" x14ac:dyDescent="0.25"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</row>
    <row r="74" spans="2:14" ht="12.75" customHeight="1" x14ac:dyDescent="0.25">
      <c r="B74" s="135"/>
      <c r="C74" s="135"/>
      <c r="D74" s="135"/>
      <c r="E74" s="135"/>
      <c r="F74" s="135"/>
      <c r="G74" s="135"/>
      <c r="H74" s="135"/>
      <c r="I74" s="135"/>
      <c r="J74" s="135"/>
      <c r="K74" s="135"/>
      <c r="L74" s="135"/>
      <c r="M74" s="135"/>
    </row>
    <row r="75" spans="2:14" ht="12.75" customHeight="1" x14ac:dyDescent="0.25"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</row>
    <row r="76" spans="2:14" ht="12.75" customHeight="1" x14ac:dyDescent="0.25">
      <c r="B76" s="136"/>
      <c r="C76" s="136"/>
      <c r="D76" s="136"/>
      <c r="E76" s="136"/>
      <c r="F76" s="136"/>
    </row>
    <row r="77" spans="2:14" ht="12.75" customHeight="1" x14ac:dyDescent="0.25">
      <c r="B77" s="8"/>
    </row>
  </sheetData>
  <mergeCells count="6">
    <mergeCell ref="B73:M73"/>
    <mergeCell ref="B74:M74"/>
    <mergeCell ref="B75:L75"/>
    <mergeCell ref="B76:F76"/>
    <mergeCell ref="D3:F3"/>
    <mergeCell ref="L3:M3"/>
  </mergeCells>
  <pageMargins left="0.7" right="0.7" top="0.75" bottom="0.75" header="0.3" footer="0.3"/>
  <pageSetup paperSize="9" scale="81" fitToHeight="0" orientation="landscape" horizontalDpi="300" verticalDpi="300" r:id="rId1"/>
  <headerFooter alignWithMargins="0"/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7EC14-EFCB-44AD-9F93-A2185D0A9FE2}">
  <sheetPr>
    <pageSetUpPr fitToPage="1"/>
  </sheetPr>
  <dimension ref="A1:E30"/>
  <sheetViews>
    <sheetView tabSelected="1" workbookViewId="0">
      <selection activeCell="B21" sqref="B21"/>
    </sheetView>
  </sheetViews>
  <sheetFormatPr defaultRowHeight="12.5" x14ac:dyDescent="0.25"/>
  <cols>
    <col min="1" max="1" width="30.81640625" style="34" customWidth="1"/>
    <col min="2" max="2" width="11.1796875" bestFit="1" customWidth="1"/>
    <col min="3" max="3" width="14.54296875" customWidth="1"/>
    <col min="4" max="4" width="17.7265625" customWidth="1"/>
    <col min="5" max="5" width="11.81640625" style="96" customWidth="1"/>
  </cols>
  <sheetData>
    <row r="1" spans="1:5" ht="14.5" x14ac:dyDescent="0.35">
      <c r="A1" s="81" t="s">
        <v>109</v>
      </c>
      <c r="B1" s="80"/>
      <c r="C1" s="80"/>
      <c r="D1" s="80"/>
      <c r="E1" s="91"/>
    </row>
    <row r="2" spans="1:5" ht="29" x14ac:dyDescent="0.35">
      <c r="A2" s="90"/>
      <c r="B2" s="79" t="s">
        <v>110</v>
      </c>
      <c r="C2" s="81" t="s">
        <v>111</v>
      </c>
      <c r="D2" s="81"/>
      <c r="E2" s="91"/>
    </row>
    <row r="3" spans="1:5" x14ac:dyDescent="0.25">
      <c r="A3" s="90"/>
      <c r="B3" s="80"/>
      <c r="C3" s="80"/>
      <c r="D3" s="80"/>
      <c r="E3" s="91"/>
    </row>
    <row r="4" spans="1:5" x14ac:dyDescent="0.25">
      <c r="A4" s="86" t="s">
        <v>112</v>
      </c>
      <c r="B4" s="80">
        <f>+D4-C4</f>
        <v>59489</v>
      </c>
      <c r="C4" s="80">
        <v>54035</v>
      </c>
      <c r="D4" s="91">
        <v>113524</v>
      </c>
    </row>
    <row r="5" spans="1:5" x14ac:dyDescent="0.25">
      <c r="A5" s="90"/>
      <c r="B5" s="80"/>
      <c r="C5" s="80"/>
      <c r="D5" s="91"/>
    </row>
    <row r="6" spans="1:5" x14ac:dyDescent="0.25">
      <c r="A6" s="86" t="s">
        <v>130</v>
      </c>
      <c r="B6" s="80">
        <f>+'actual expenditure'!M11+9276</f>
        <v>81327</v>
      </c>
      <c r="C6" s="80"/>
      <c r="D6" s="91"/>
    </row>
    <row r="7" spans="1:5" x14ac:dyDescent="0.25">
      <c r="A7" s="86" t="s">
        <v>131</v>
      </c>
      <c r="B7" s="80">
        <f>-+'actual expenditure'!M65-C7-8222</f>
        <v>-50045</v>
      </c>
      <c r="C7" s="80">
        <f>-'actual expenditure'!M61</f>
        <v>-28608</v>
      </c>
      <c r="D7" s="91"/>
    </row>
    <row r="8" spans="1:5" x14ac:dyDescent="0.25">
      <c r="A8" s="90"/>
      <c r="B8" s="80"/>
      <c r="C8" s="80"/>
      <c r="D8" s="91"/>
    </row>
    <row r="9" spans="1:5" ht="13" x14ac:dyDescent="0.3">
      <c r="A9" s="97" t="s">
        <v>129</v>
      </c>
      <c r="B9" s="83">
        <f>+B4+B6+B7</f>
        <v>90771</v>
      </c>
      <c r="C9" s="83">
        <f>+C4+C6+C7</f>
        <v>25427</v>
      </c>
      <c r="D9" s="92">
        <f>+C9+B9</f>
        <v>116198</v>
      </c>
    </row>
    <row r="10" spans="1:5" x14ac:dyDescent="0.25">
      <c r="A10" s="90"/>
      <c r="B10" s="84"/>
      <c r="C10" s="84"/>
      <c r="D10" s="132"/>
      <c r="E10" s="93"/>
    </row>
    <row r="11" spans="1:5" x14ac:dyDescent="0.25">
      <c r="A11" s="90"/>
      <c r="B11" s="80"/>
      <c r="C11" s="80"/>
      <c r="D11" s="133"/>
      <c r="E11" s="91"/>
    </row>
    <row r="12" spans="1:5" ht="14.5" x14ac:dyDescent="0.35">
      <c r="A12" s="98" t="s">
        <v>113</v>
      </c>
      <c r="B12" s="80"/>
      <c r="C12" s="80"/>
      <c r="D12" s="80"/>
      <c r="E12" s="91"/>
    </row>
    <row r="13" spans="1:5" ht="14.5" x14ac:dyDescent="0.35">
      <c r="A13" s="98" t="s">
        <v>114</v>
      </c>
      <c r="B13" s="74"/>
      <c r="C13" s="80"/>
      <c r="D13" s="80"/>
      <c r="E13" s="91"/>
    </row>
    <row r="14" spans="1:5" x14ac:dyDescent="0.25">
      <c r="A14" s="85" t="s">
        <v>115</v>
      </c>
      <c r="B14" s="80">
        <v>36180</v>
      </c>
      <c r="C14" s="80"/>
      <c r="D14" s="80"/>
      <c r="E14" s="94"/>
    </row>
    <row r="15" spans="1:5" ht="14.5" x14ac:dyDescent="0.35">
      <c r="A15" s="98" t="s">
        <v>116</v>
      </c>
      <c r="B15" s="80"/>
      <c r="C15" s="80"/>
      <c r="D15" s="80"/>
      <c r="E15" s="94"/>
    </row>
    <row r="16" spans="1:5" x14ac:dyDescent="0.25">
      <c r="A16" s="90" t="s">
        <v>117</v>
      </c>
      <c r="B16" s="80">
        <v>4000</v>
      </c>
      <c r="C16" s="80"/>
      <c r="D16" s="80"/>
      <c r="E16" s="91"/>
    </row>
    <row r="17" spans="1:5" ht="25" x14ac:dyDescent="0.25">
      <c r="A17" s="86" t="s">
        <v>134</v>
      </c>
      <c r="B17" s="80">
        <v>1250</v>
      </c>
      <c r="C17" s="80"/>
      <c r="D17" s="80"/>
      <c r="E17" s="94"/>
    </row>
    <row r="18" spans="1:5" x14ac:dyDescent="0.25">
      <c r="A18" s="86" t="s">
        <v>135</v>
      </c>
      <c r="B18" s="80">
        <v>1250</v>
      </c>
      <c r="C18" s="80"/>
      <c r="D18" s="80"/>
      <c r="E18" s="94"/>
    </row>
    <row r="19" spans="1:5" x14ac:dyDescent="0.25">
      <c r="A19" s="86" t="s">
        <v>66</v>
      </c>
      <c r="B19" s="80"/>
      <c r="C19" s="80">
        <v>2500</v>
      </c>
      <c r="D19" s="80"/>
      <c r="E19" s="94"/>
    </row>
    <row r="20" spans="1:5" x14ac:dyDescent="0.25">
      <c r="A20" s="88" t="s">
        <v>118</v>
      </c>
      <c r="B20" s="84">
        <v>600</v>
      </c>
      <c r="C20" s="84"/>
      <c r="D20" s="89" t="s">
        <v>132</v>
      </c>
      <c r="E20" s="95"/>
    </row>
    <row r="21" spans="1:5" ht="25" x14ac:dyDescent="0.25">
      <c r="A21" s="89" t="s">
        <v>133</v>
      </c>
      <c r="B21" s="84">
        <v>2500</v>
      </c>
      <c r="C21" s="84"/>
      <c r="D21" s="89"/>
      <c r="E21" s="95"/>
    </row>
    <row r="22" spans="1:5" x14ac:dyDescent="0.25">
      <c r="A22" s="86" t="s">
        <v>119</v>
      </c>
      <c r="B22" s="84"/>
      <c r="C22" s="84">
        <v>3000</v>
      </c>
      <c r="D22" s="84"/>
      <c r="E22" s="95"/>
    </row>
    <row r="23" spans="1:5" x14ac:dyDescent="0.25">
      <c r="A23" s="86" t="s">
        <v>120</v>
      </c>
      <c r="B23" s="84">
        <f>6000-('actual expenditure'!M58-'actual expenditure'!L58)</f>
        <v>3275</v>
      </c>
      <c r="C23" s="84"/>
      <c r="D23" s="84"/>
      <c r="E23" s="95"/>
    </row>
    <row r="24" spans="1:5" x14ac:dyDescent="0.25">
      <c r="A24" s="124" t="s">
        <v>123</v>
      </c>
      <c r="B24" s="125">
        <v>2500</v>
      </c>
      <c r="C24" s="84"/>
      <c r="D24" s="95"/>
    </row>
    <row r="25" spans="1:5" x14ac:dyDescent="0.25">
      <c r="A25" s="124" t="s">
        <v>121</v>
      </c>
      <c r="B25" s="126">
        <f>+B9-SUM(B14:B24)</f>
        <v>39216</v>
      </c>
      <c r="C25" s="84">
        <f>+C9-C21-C22</f>
        <v>22427</v>
      </c>
      <c r="D25" s="95"/>
    </row>
    <row r="26" spans="1:5" x14ac:dyDescent="0.25">
      <c r="A26" s="90"/>
      <c r="B26" s="80"/>
      <c r="C26" s="80"/>
      <c r="D26" s="80"/>
      <c r="E26" s="91"/>
    </row>
    <row r="27" spans="1:5" ht="13" x14ac:dyDescent="0.3">
      <c r="A27" s="97"/>
      <c r="B27" s="82">
        <f>SUM(B14:B26)</f>
        <v>90771</v>
      </c>
      <c r="C27" s="82">
        <f>SUM(C13:C26)</f>
        <v>27927</v>
      </c>
      <c r="D27" s="82"/>
      <c r="E27" s="91"/>
    </row>
    <row r="30" spans="1:5" ht="25" x14ac:dyDescent="0.25">
      <c r="A30" s="127" t="s">
        <v>122</v>
      </c>
    </row>
  </sheetData>
  <pageMargins left="0.7" right="0.7" top="0.75" bottom="0.75" header="0.3" footer="0.3"/>
  <pageSetup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A329D53DC5D24D8E9004972FDE320D" ma:contentTypeVersion="11" ma:contentTypeDescription="Create a new document." ma:contentTypeScope="" ma:versionID="253246ece9cf7940bf1cc3226be31dd6">
  <xsd:schema xmlns:xsd="http://www.w3.org/2001/XMLSchema" xmlns:xs="http://www.w3.org/2001/XMLSchema" xmlns:p="http://schemas.microsoft.com/office/2006/metadata/properties" xmlns:ns3="fa37f74a-ab4c-4ce4-b16a-2f90ba644d60" targetNamespace="http://schemas.microsoft.com/office/2006/metadata/properties" ma:root="true" ma:fieldsID="7b965233f7b066e1ada1fb43d212ca64" ns3:_="">
    <xsd:import namespace="fa37f74a-ab4c-4ce4-b16a-2f90ba644d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System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37f74a-ab4c-4ce4-b16a-2f90ba644d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0AF6DE-C758-4B71-9F28-2BA45D07A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37f74a-ab4c-4ce4-b16a-2f90ba644d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33B01B-58E0-47AA-B5B7-43320E14BEC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BDBF167-6985-455D-B4D0-5CEC802E1C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actual expenditure</vt:lpstr>
      <vt:lpstr>reserves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NetPosition</dc:title>
  <dc:subject/>
  <dc:creator>Crystal Decisions</dc:creator>
  <cp:keywords/>
  <dc:description>Powered by Crystal</dc:description>
  <cp:lastModifiedBy>Liz Holland</cp:lastModifiedBy>
  <cp:revision/>
  <cp:lastPrinted>2025-11-03T15:07:09Z</cp:lastPrinted>
  <dcterms:created xsi:type="dcterms:W3CDTF">2023-03-28T13:24:24Z</dcterms:created>
  <dcterms:modified xsi:type="dcterms:W3CDTF">2025-11-03T15:55:33Z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01734361CD07C3C85B968AA4B2781C480C5E84517533FB2EE1174F74E95997FC9503DC872D15E7FE07B95AE100ED7F409B9804B23AFDD9550D8F0E2DE277012DB7A24F5288916B48D8D5BD6B858F28A1AE0D948835BA90CA34512F3F45EA1126C19085E381313A2DE74F8B0BFBE7E2F329FECC76F534ACCE31607E17900D425</vt:lpwstr>
  </property>
  <property fmtid="{D5CDD505-2E9C-101B-9397-08002B2CF9AE}" pid="3" name="Business Objects Context Information1">
    <vt:lpwstr>4B75056DD69B202A80EAFF0241AC7766AD7894424FFDF52909FE336E0A92D90053556510CD272653DD20819E931D3FB5C9547809DFEA86464D4D273DE468AED9A56B6633CEB3604C6FE85DF83A5FC02E3A0BB7904F6C918460DE7F7A7E6446C0A29A40CCCEDAA72DA7ED2FB66B87420A687636C8F34D47CE81BFF114515949D</vt:lpwstr>
  </property>
  <property fmtid="{D5CDD505-2E9C-101B-9397-08002B2CF9AE}" pid="4" name="Business Objects Context Information2">
    <vt:lpwstr>182B7C034088FBECE8B2BEA48871FC140A01784907A59AD9C8B6FBBF94A2F6F4803F7640DDC704D1FAA68733DAB13FC0A1BCFC91F8CA8142B42D02913D64B0D91F2C2A2F2B3D33D6AE07C0E11FD864C1EE73C06B6B919E156809B7268560EEB7183526849A3A446B1F1904A666CC103399CABEF1C72A4D4827F5AF6EDF3A922</vt:lpwstr>
  </property>
  <property fmtid="{D5CDD505-2E9C-101B-9397-08002B2CF9AE}" pid="5" name="Business Objects Context Information3">
    <vt:lpwstr>4C7748FB0B29256E5950F24225DEAFB5AB7363DBAD0B0BA1762A370EFBFD5AF088AB5A98A26DA3E415DF668FCCAB9E67047E6D1E77DE7324BE3A2A4582E529F43BB632D61D1533934D1F8A059DD5F163AED64EE3E2562A401D8E7B686DD0D7CC9BDCCF42997C2B3734A1E8A86C32E70B4CA255ABEF7AE802B7AF4C2C3BCE55D</vt:lpwstr>
  </property>
  <property fmtid="{D5CDD505-2E9C-101B-9397-08002B2CF9AE}" pid="6" name="Business Objects Context Information4">
    <vt:lpwstr>50BCEB8FFC6755578E546B9ADD395B12EB366FB0F9D7BCE2AA687AD1CFFFC3FE7EAB81CA41427C2E2B2A7D6CFDD3611D4B0A84F74FCBCD1A61FFD1968BE753DDCEF4B6A4F6409516BDAA76CEAEA36DB749E7B3B7DCA8A0C23F8410452AD77D98A5C2FE12FF79D2D5BA8DCFD9BC1D741DA71BFF7F08DC4B151C4EE778D190095</vt:lpwstr>
  </property>
  <property fmtid="{D5CDD505-2E9C-101B-9397-08002B2CF9AE}" pid="7" name="Business Objects Context Information5">
    <vt:lpwstr>0AB25A59511D48D0F7985A5E7A223436486C49963F68810B7292B4529FDDA12979DE8EE0622522783FEB0498B6A63B4E4E5A2CBEF405ECB8EF7A693166AE93568856ACD60F7A03158C931B6D35B5F09995D0217194F17A8ADB9ED3254892F91E9348DCBB05E11A0D1B3DFC3189F9DF942C82D71240441E5438D4EFFA763A6B8</vt:lpwstr>
  </property>
  <property fmtid="{D5CDD505-2E9C-101B-9397-08002B2CF9AE}" pid="8" name="Business Objects Context Information6">
    <vt:lpwstr>515EA22694295ED554E90E9228FC9824C025F875CE5290316A839E961BE4ABAE85650D31E477FC72BB860BE9418080EF4282A8C676F15B8448B74FE1B5FFC191ADF14DF8DEB6221279B15ECAB229CE68489E4408BA3DD9C173F3DEF76D00F646BE02774257E7BDA79E85353EE888D28D4C540EB5287EA944F5BA36F3F36971B</vt:lpwstr>
  </property>
  <property fmtid="{D5CDD505-2E9C-101B-9397-08002B2CF9AE}" pid="9" name="Business Objects Context Information7">
    <vt:lpwstr>86C71C9F88330AE22D512FFA2C00F33E47561494FD52331B817C960A665FE491E516A74473D5E608DC7B87D88735249F0FC978BE14137B879B8002C8628F73C94A6D4D33D1EE95EDAA4D2C2CA67EBFEF02050CE4DA07E8DDCD4AE61D9A1C7F23D1B86ABD0B292418C682512F4D04FC9E157CA57E959341FD9568FD4E84698C8</vt:lpwstr>
  </property>
  <property fmtid="{D5CDD505-2E9C-101B-9397-08002B2CF9AE}" pid="10" name="Business Objects Context Information8">
    <vt:lpwstr>096AC4BF138E9756CC3CF7A922DCF372AFE0DFEA90D5A91FDDEA5772C25488125BBD932EF23CA0D57860A3490C7BAE4726C146FB374C776BC98B04B21E12DC06F3F3242DEF47EC5BBD9884AD4EF8B6F8633A86C9A17D0A6869E482D3994503B86CA9A259F52248DDEC8A71BD5771A2B86ECB95AE31E6CD98F8832F4B7D3955B</vt:lpwstr>
  </property>
  <property fmtid="{D5CDD505-2E9C-101B-9397-08002B2CF9AE}" pid="11" name="Business Objects Context Information9">
    <vt:lpwstr>D58AD014D5A</vt:lpwstr>
  </property>
  <property fmtid="{D5CDD505-2E9C-101B-9397-08002B2CF9AE}" pid="12" name="ContentTypeId">
    <vt:lpwstr>0x010100C2A329D53DC5D24D8E9004972FDE320D</vt:lpwstr>
  </property>
</Properties>
</file>