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6.xml" ContentType="application/vnd.ms-excel.person+xml"/>
  <Override PartName="/xl/persons/person11.xml" ContentType="application/vnd.ms-excel.person+xml"/>
  <Override PartName="/xl/persons/person16.xml" ContentType="application/vnd.ms-excel.person+xml"/>
  <Override PartName="/xl/persons/person13.xml" ContentType="application/vnd.ms-excel.person+xml"/>
  <Override PartName="/xl/persons/person2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15.xml" ContentType="application/vnd.ms-excel.person+xml"/>
  <Override PartName="/xl/persons/person8.xml" ContentType="application/vnd.ms-excel.person+xml"/>
  <Override PartName="/xl/persons/person12.xml" ContentType="application/vnd.ms-excel.person+xml"/>
  <Override PartName="/xl/persons/person3.xml" ContentType="application/vnd.ms-excel.person+xml"/>
  <Override PartName="/xl/persons/person14.xml" ContentType="application/vnd.ms-excel.person+xml"/>
  <Override PartName="/xl/persons/person7.xml" ContentType="application/vnd.ms-excel.person+xml"/>
  <Override PartName="/xl/persons/person4.xml" ContentType="application/vnd.ms-excel.person+xml"/>
  <Override PartName="/xl/persons/person18.xml" ContentType="application/vnd.ms-excel.person+xml"/>
  <Override PartName="/xl/persons/person0.xml" ContentType="application/vnd.ms-excel.person+xml"/>
  <Override PartName="/xl/persons/person2.xml" ContentType="application/vnd.ms-excel.person+xml"/>
  <Override PartName="/xl/persons/person19.xml" ContentType="application/vnd.ms-excel.person+xml"/>
  <Override PartName="/xl/persons/person17.xml" ContentType="application/vnd.ms-excel.person+xml"/>
  <Override PartName="/xl/persons/person1.xml" ContentType="application/vnd.ms-excel.person+xml"/>
  <Override PartName="/xl/persons/person9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6881a7c2f454489/Desktop/Financial/Budget Setting/2024-25/"/>
    </mc:Choice>
  </mc:AlternateContent>
  <xr:revisionPtr revIDLastSave="27" documentId="8_{ACD03D84-F8E2-45F7-A4A2-2D4D73549A7B}" xr6:coauthVersionLast="47" xr6:coauthVersionMax="47" xr10:uidLastSave="{66E1AEB4-D2DF-4D20-8421-BC98497B9CAB}"/>
  <bookViews>
    <workbookView xWindow="-110" yWindow="-110" windowWidth="19420" windowHeight="10300" tabRatio="500" xr2:uid="{00000000-000D-0000-FFFF-FFFF00000000}"/>
  </bookViews>
  <sheets>
    <sheet name="budget 2425" sheetId="1" r:id="rId1"/>
    <sheet name="reserves forecast 31.3.24" sheetId="3" r:id="rId2"/>
    <sheet name="band D equiv" sheetId="2" r:id="rId3"/>
  </sheets>
  <calcPr calcId="181029"/>
</workbook>
</file>

<file path=xl/calcChain.xml><?xml version="1.0" encoding="utf-8"?>
<calcChain xmlns="http://schemas.openxmlformats.org/spreadsheetml/2006/main">
  <c r="N5" i="1" l="1"/>
  <c r="L5" i="1"/>
  <c r="J5" i="1"/>
  <c r="B7" i="3"/>
  <c r="C6" i="3"/>
  <c r="C9" i="3" s="1"/>
  <c r="H68" i="1"/>
  <c r="H38" i="1"/>
  <c r="H53" i="1"/>
  <c r="C20" i="3"/>
  <c r="B18" i="3"/>
  <c r="L40" i="1"/>
  <c r="N40" i="1" s="1"/>
  <c r="J32" i="1"/>
  <c r="J24" i="1"/>
  <c r="J22" i="1"/>
  <c r="J23" i="1"/>
  <c r="J19" i="1"/>
  <c r="B6" i="3" l="1"/>
  <c r="B9" i="3" s="1"/>
  <c r="E9" i="3"/>
  <c r="J34" i="1"/>
  <c r="J44" i="1" l="1"/>
  <c r="H40" i="1"/>
  <c r="F40" i="1"/>
  <c r="E37" i="1"/>
  <c r="H21" i="1"/>
  <c r="L21" i="1"/>
  <c r="L23" i="1" s="1"/>
  <c r="N23" i="1"/>
  <c r="N61" i="1"/>
  <c r="N65" i="1" s="1"/>
  <c r="N58" i="1"/>
  <c r="N44" i="1"/>
  <c r="N32" i="1"/>
  <c r="N22" i="1"/>
  <c r="N19" i="1"/>
  <c r="L61" i="1"/>
  <c r="L65" i="1" s="1"/>
  <c r="L58" i="1"/>
  <c r="L44" i="1"/>
  <c r="L32" i="1"/>
  <c r="L22" i="1"/>
  <c r="L19" i="1"/>
  <c r="H22" i="1"/>
  <c r="H37" i="1"/>
  <c r="H23" i="1"/>
  <c r="H10" i="1"/>
  <c r="H7" i="1"/>
  <c r="C9" i="2"/>
  <c r="F9" i="2" s="1"/>
  <c r="G9" i="2" s="1"/>
  <c r="H31" i="1"/>
  <c r="G69" i="1"/>
  <c r="F69" i="1"/>
  <c r="E68" i="1"/>
  <c r="B12" i="3" s="1"/>
  <c r="D49" i="1"/>
  <c r="C55" i="1"/>
  <c r="C58" i="1" s="1"/>
  <c r="C65" i="1"/>
  <c r="C13" i="1"/>
  <c r="C44" i="1"/>
  <c r="C34" i="1"/>
  <c r="J61" i="1"/>
  <c r="J65" i="1" s="1"/>
  <c r="J58" i="1"/>
  <c r="G34" i="1"/>
  <c r="E34" i="1"/>
  <c r="F7" i="1"/>
  <c r="F8" i="1"/>
  <c r="F9" i="1"/>
  <c r="F10" i="1"/>
  <c r="F11" i="1"/>
  <c r="F12" i="1"/>
  <c r="F16" i="1"/>
  <c r="F18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42" i="1"/>
  <c r="F43" i="1"/>
  <c r="F47" i="1"/>
  <c r="F48" i="1"/>
  <c r="F50" i="1"/>
  <c r="F51" i="1"/>
  <c r="F52" i="1"/>
  <c r="F53" i="1"/>
  <c r="F54" i="1"/>
  <c r="F56" i="1"/>
  <c r="F57" i="1"/>
  <c r="F60" i="1"/>
  <c r="F61" i="1"/>
  <c r="F62" i="1"/>
  <c r="F64" i="1"/>
  <c r="F55" i="1"/>
  <c r="N34" i="1" l="1"/>
  <c r="N67" i="1" s="1"/>
  <c r="N69" i="1" s="1"/>
  <c r="N7" i="1" s="1"/>
  <c r="C67" i="1"/>
  <c r="C69" i="1" s="1"/>
  <c r="L34" i="1"/>
  <c r="L67" i="1" s="1"/>
  <c r="L69" i="1" s="1"/>
  <c r="F13" i="1"/>
  <c r="E41" i="1"/>
  <c r="F41" i="1" s="1"/>
  <c r="E63" i="1"/>
  <c r="F63" i="1" s="1"/>
  <c r="F65" i="1" s="1"/>
  <c r="H51" i="1"/>
  <c r="H49" i="1"/>
  <c r="F37" i="1"/>
  <c r="H16" i="1"/>
  <c r="H34" i="1" s="1"/>
  <c r="F49" i="1"/>
  <c r="F58" i="1" s="1"/>
  <c r="F19" i="1"/>
  <c r="F34" i="1" s="1"/>
  <c r="H12" i="1"/>
  <c r="C13" i="3" s="1"/>
  <c r="C15" i="3" s="1"/>
  <c r="C28" i="3" s="1"/>
  <c r="C31" i="3" s="1"/>
  <c r="L7" i="1" l="1"/>
  <c r="C14" i="2" s="1"/>
  <c r="F14" i="2" s="1"/>
  <c r="G14" i="2" s="1"/>
  <c r="C16" i="2"/>
  <c r="F16" i="2" s="1"/>
  <c r="G16" i="2" s="1"/>
  <c r="N6" i="1"/>
  <c r="N13" i="1"/>
  <c r="L6" i="1"/>
  <c r="J67" i="1"/>
  <c r="J69" i="1" s="1"/>
  <c r="J7" i="1" s="1"/>
  <c r="F44" i="1"/>
  <c r="H44" i="1"/>
  <c r="H13" i="1"/>
  <c r="E44" i="1"/>
  <c r="H64" i="1"/>
  <c r="H65" i="1" s="1"/>
  <c r="H56" i="1"/>
  <c r="H54" i="1"/>
  <c r="H48" i="1"/>
  <c r="H47" i="1"/>
  <c r="E65" i="1"/>
  <c r="D65" i="1"/>
  <c r="E58" i="1"/>
  <c r="D58" i="1"/>
  <c r="D13" i="1"/>
  <c r="D44" i="1"/>
  <c r="D34" i="1"/>
  <c r="J14" i="2" l="1"/>
  <c r="L14" i="2" s="1"/>
  <c r="I14" i="2"/>
  <c r="L13" i="1"/>
  <c r="J16" i="2"/>
  <c r="L16" i="2" s="1"/>
  <c r="I16" i="2"/>
  <c r="C12" i="2"/>
  <c r="F12" i="2" s="1"/>
  <c r="G12" i="2" s="1"/>
  <c r="J12" i="2" s="1"/>
  <c r="L12" i="2" s="1"/>
  <c r="J13" i="1"/>
  <c r="J6" i="1"/>
  <c r="D67" i="1"/>
  <c r="D69" i="1" s="1"/>
  <c r="H58" i="1"/>
  <c r="E13" i="1"/>
  <c r="B13" i="3" s="1"/>
  <c r="I12" i="2" l="1"/>
  <c r="H67" i="1"/>
  <c r="H69" i="1" s="1"/>
  <c r="E67" i="1"/>
  <c r="E69" i="1" s="1"/>
  <c r="B11" i="3" l="1"/>
  <c r="B15" i="3" s="1"/>
  <c r="B29" i="3" l="1"/>
  <c r="B31" i="3" s="1"/>
  <c r="E1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Clerk</author>
  </authors>
  <commentList>
    <comment ref="H68" authorId="0" shapeId="0" xr:uid="{DBABFE59-9576-4F05-848B-EF6A2A15AEFD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oakwood trees, P in the P, bowls club, play reprs, posts, car park, youth activities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Clerk</author>
  </authors>
  <commentList>
    <comment ref="K12" authorId="0" shapeId="0" xr:uid="{6D6B187F-3E7D-4ACA-9AFC-A0EB615E0445}">
      <text>
        <r>
          <rPr>
            <b/>
            <sz val="9"/>
            <color indexed="81"/>
            <rFont val="Tahoma"/>
            <charset val="1"/>
          </rPr>
          <t>Clerk:</t>
        </r>
        <r>
          <rPr>
            <sz val="9"/>
            <color indexed="81"/>
            <rFont val="Tahoma"/>
            <charset val="1"/>
          </rPr>
          <t xml:space="preserve">
Grants £960 known, £2k estimate, PLUS p/gr reps £8.5k
</t>
        </r>
      </text>
    </comment>
  </commentList>
</comments>
</file>

<file path=xl/sharedStrings.xml><?xml version="1.0" encoding="utf-8"?>
<sst xmlns="http://schemas.openxmlformats.org/spreadsheetml/2006/main" count="177" uniqueCount="167">
  <si>
    <t>Insurance</t>
  </si>
  <si>
    <t>Stationery</t>
  </si>
  <si>
    <t>Internal &amp; External Audit Fees</t>
  </si>
  <si>
    <t>Hire of Halls</t>
  </si>
  <si>
    <t>Pension Contributions (ER)`</t>
  </si>
  <si>
    <t>HMRC Payments</t>
  </si>
  <si>
    <t>Clerk's allowance (homeworker)</t>
  </si>
  <si>
    <t>Telephone</t>
  </si>
  <si>
    <t>Postage</t>
  </si>
  <si>
    <t>Training</t>
  </si>
  <si>
    <t>Website Costs</t>
  </si>
  <si>
    <t>IT Services</t>
  </si>
  <si>
    <t>Payroll</t>
  </si>
  <si>
    <t>PWLB - Loan</t>
  </si>
  <si>
    <t>Electricity</t>
  </si>
  <si>
    <t>Precept</t>
  </si>
  <si>
    <t>Interest</t>
  </si>
  <si>
    <t>Cemetery Fees</t>
  </si>
  <si>
    <t>Miscellaneous Income</t>
  </si>
  <si>
    <t>CIL Receipts</t>
  </si>
  <si>
    <t>Waleran Close Rent</t>
  </si>
  <si>
    <t>Adult gym equipment maintenance</t>
  </si>
  <si>
    <t>Subscriptions</t>
  </si>
  <si>
    <t>Chairman's expenses</t>
  </si>
  <si>
    <t>Clerk / Councillor's Travel</t>
  </si>
  <si>
    <t>Councillor Expenses</t>
  </si>
  <si>
    <t>Legal Expenses</t>
  </si>
  <si>
    <t>Asset Purchase</t>
  </si>
  <si>
    <t>SID Project</t>
  </si>
  <si>
    <t>Grounds maintenance contract</t>
  </si>
  <si>
    <t>Litter Collection</t>
  </si>
  <si>
    <t>Tree Maintenance</t>
  </si>
  <si>
    <t>Trees at Oakwood Grove</t>
  </si>
  <si>
    <t>Allotment Rent</t>
  </si>
  <si>
    <t>INCOME</t>
  </si>
  <si>
    <t>MISCELLANEOUS</t>
  </si>
  <si>
    <t>OPEN SPACES</t>
  </si>
  <si>
    <t>Alderbury Parish Council</t>
  </si>
  <si>
    <t>Pavement Works</t>
  </si>
  <si>
    <t>we should do well from higher rates</t>
  </si>
  <si>
    <t>for Buzz Action project</t>
  </si>
  <si>
    <t>Available to spend</t>
  </si>
  <si>
    <t>Footpath maintenance</t>
  </si>
  <si>
    <t>forecast full year expenditure</t>
  </si>
  <si>
    <t>forecast full year income</t>
  </si>
  <si>
    <t>current yr pay settlement is still outstanding</t>
  </si>
  <si>
    <t>Buzz Action</t>
  </si>
  <si>
    <t>covered from reserves</t>
  </si>
  <si>
    <t xml:space="preserve">due to price rises (up 32%) </t>
  </si>
  <si>
    <t>add to reserves (mostly CIL)</t>
  </si>
  <si>
    <t>y/e 31.3.24</t>
  </si>
  <si>
    <t xml:space="preserve"> Forecast</t>
  </si>
  <si>
    <t>y/e 31.3.25</t>
  </si>
  <si>
    <t>First draft BUDGET</t>
  </si>
  <si>
    <t>known</t>
  </si>
  <si>
    <t>largely printer catridgees</t>
  </si>
  <si>
    <t>inflation at 7.5%</t>
  </si>
  <si>
    <t>no news of any increase</t>
  </si>
  <si>
    <t>PO Box</t>
  </si>
  <si>
    <t>7.5% inflation</t>
  </si>
  <si>
    <t>VILLAGE MAINT</t>
  </si>
  <si>
    <t>moved above</t>
  </si>
  <si>
    <t>assume no change in mileage claim rate</t>
  </si>
  <si>
    <t>will be funded from reserves</t>
  </si>
  <si>
    <t>just agreed</t>
  </si>
  <si>
    <t>budget expenditure</t>
  </si>
  <si>
    <t>y/e 31.3.23</t>
  </si>
  <si>
    <t>Recruitment costs</t>
  </si>
  <si>
    <t>TOTAL expenditure</t>
  </si>
  <si>
    <t>expenditure funded from income</t>
  </si>
  <si>
    <t>funded from reserves</t>
  </si>
  <si>
    <t>Accounting &amp; cemetery software</t>
  </si>
  <si>
    <t>follows salary</t>
  </si>
  <si>
    <t>assuming mulch lasts through 24/25</t>
  </si>
  <si>
    <t>contract allows uplift which was 8% last year</t>
  </si>
  <si>
    <t>known to be nil</t>
  </si>
  <si>
    <t>Actual</t>
  </si>
  <si>
    <t>Rates at The Pavilion</t>
  </si>
  <si>
    <t>S Rd allots, High Str Allots You can give notice to increase these</t>
  </si>
  <si>
    <t>Community Projects/grants (s.137)</t>
  </si>
  <si>
    <t>youth activities (s.137)</t>
  </si>
  <si>
    <t>see above</t>
  </si>
  <si>
    <t>Band D equivalent calculations</t>
  </si>
  <si>
    <t>cost per week</t>
  </si>
  <si>
    <t>2024/25</t>
  </si>
  <si>
    <t>Grants &amp; donations</t>
  </si>
  <si>
    <t>Original budget</t>
  </si>
  <si>
    <t>second draft BUDGET</t>
  </si>
  <si>
    <t>First draft</t>
  </si>
  <si>
    <t>Second draft #1</t>
  </si>
  <si>
    <t>keep precept rise to single figure % increase</t>
  </si>
  <si>
    <t>split the difference</t>
  </si>
  <si>
    <t>Second draft #2</t>
  </si>
  <si>
    <t>per week increase</t>
  </si>
  <si>
    <t xml:space="preserve">2023/24 </t>
  </si>
  <si>
    <t>actual</t>
  </si>
  <si>
    <t>draft 1</t>
  </si>
  <si>
    <t>probably means you can't do a tree survey</t>
  </si>
  <si>
    <t>assume reserves would be spent</t>
  </si>
  <si>
    <t>variable</t>
  </si>
  <si>
    <t>draft 2 #1</t>
  </si>
  <si>
    <t>draft 2 #2</t>
  </si>
  <si>
    <t>2024/25 BUDGET</t>
  </si>
  <si>
    <t>TOTAL precept %age increase from current year</t>
  </si>
  <si>
    <t>as presented October</t>
  </si>
  <si>
    <t>per annum increase</t>
  </si>
  <si>
    <t>If changes to council tax support proposed by WC are NOT agreed the 'equivalent properties' number will be 1036.55.</t>
  </si>
  <si>
    <t>This will be decided by WC at a meeting on 12/12/23</t>
  </si>
  <si>
    <t>If you are looking at this in Excel, you can just swap that number in to see the difference (minimal).</t>
  </si>
  <si>
    <t>THIS IS NOT THE SAME AS THE ACTUAL RATE WHICH WILL BE CHARGED ON A BAND D PROPERTY.</t>
  </si>
  <si>
    <t>IT IS MORE OF AN AVERAGING ACROSS ALL PROPERTIES</t>
  </si>
  <si>
    <t>Band D equivalents</t>
  </si>
  <si>
    <t xml:space="preserve"> properties</t>
  </si>
  <si>
    <t xml:space="preserve"> precept pa</t>
  </si>
  <si>
    <t>I have assumed they will be, and this does give us the 'worst case'.</t>
  </si>
  <si>
    <t>THE ACTUAL ONLINE BAND D CALCULATOR PROVIDED BY WC WILL NOT BE UPDATED AND AVAILABLE UNTIL AFTER 12/12/23</t>
  </si>
  <si>
    <t>Actual YTD 30.11.23</t>
  </si>
  <si>
    <t xml:space="preserve"> assume 24/25 increase 5% </t>
  </si>
  <si>
    <t>Village Maintenance (not plyaground equip)</t>
  </si>
  <si>
    <t>Playground equipment R &amp; M</t>
  </si>
  <si>
    <t>Pavilion R &amp; M</t>
  </si>
  <si>
    <t>23/24 yr low due to clerk's refund  24/25 follows salary</t>
  </si>
  <si>
    <t>Play equipment inspection RoSPA and Vitaplay (quarterly)</t>
  </si>
  <si>
    <t>nothing planned</t>
  </si>
  <si>
    <t>car park</t>
  </si>
  <si>
    <t>fund any from reserves</t>
  </si>
  <si>
    <t>incls FL</t>
  </si>
  <si>
    <t>General</t>
  </si>
  <si>
    <t xml:space="preserve">CIL MUST be spent on capital </t>
  </si>
  <si>
    <t>Opening balance 31.3.23</t>
  </si>
  <si>
    <t>Receipts to 30.11.23</t>
  </si>
  <si>
    <t>Expenditure to 30.11.23</t>
  </si>
  <si>
    <t>noticeboard</t>
  </si>
  <si>
    <t>Balance 30.11.23</t>
  </si>
  <si>
    <t>AGREED</t>
  </si>
  <si>
    <t>Made up of:</t>
  </si>
  <si>
    <t>6 months expenditure</t>
  </si>
  <si>
    <t>noticeboards</t>
  </si>
  <si>
    <t>remaining</t>
  </si>
  <si>
    <t>environmental projects</t>
  </si>
  <si>
    <t>LHFIG for Firs Road</t>
  </si>
  <si>
    <t>election</t>
  </si>
  <si>
    <t>circular path</t>
  </si>
  <si>
    <t>SID</t>
  </si>
  <si>
    <t>could be CIL</t>
  </si>
  <si>
    <t>Goal posts for rec ground</t>
  </si>
  <si>
    <t>NEW Playground equip</t>
  </si>
  <si>
    <t>Free reserves (could be Pavilion &amp; playground R&amp;M or new equip)</t>
  </si>
  <si>
    <t>balancing figure so can be re-assigned</t>
  </si>
  <si>
    <t>Forecast balance 31.3.24</t>
  </si>
  <si>
    <t>RESERVES FORECAST 31.3.24</t>
  </si>
  <si>
    <t>when I thought it was just RoSPA later versions are more accurate</t>
  </si>
  <si>
    <t>so far nothing spent but can go to reserves</t>
  </si>
  <si>
    <t>keep building reserves?</t>
  </si>
  <si>
    <t>pavement clearance</t>
  </si>
  <si>
    <t>currently in forecast spend but may end up as a category</t>
  </si>
  <si>
    <t>incls Bowls club &amp; P in the Park from reserves</t>
  </si>
  <si>
    <t>ADMIN</t>
  </si>
  <si>
    <t>EXPENDITURE</t>
  </si>
  <si>
    <t>Clerk Salary</t>
  </si>
  <si>
    <t>£500 grant from SAB, £500 reserves</t>
  </si>
  <si>
    <t>expected receipts</t>
  </si>
  <si>
    <t>planned revenue expenditure 1.12.23-31.3.23 (assume no VAT cashflow impact)</t>
  </si>
  <si>
    <t>planned reserves expenditure 1.12.23 - 31.3.24 (ditto VAT)</t>
  </si>
  <si>
    <t>balancing figure, can be re-assigned to other CAPITAL SPEND</t>
  </si>
  <si>
    <t xml:space="preserve">FORECAST 31.3.24 </t>
  </si>
  <si>
    <t>TOTAL precept increase from current year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</si>
</sst>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&quot;£&quot;#,##0.00"/>
    <numFmt numFmtId="167" formatCode="&quot;£&quot;#,##0"/>
  </numFmts>
  <fonts count="2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u val="singleAccounting"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rgb="FFFF0000"/>
      <name val="Arial"/>
      <family val="2"/>
    </font>
    <font>
      <sz val="10"/>
      <color theme="2" tint="-0.249977111117893"/>
      <name val="Arial"/>
      <family val="2"/>
    </font>
    <font>
      <b/>
      <sz val="10"/>
      <color theme="2" tint="-0.249977111117893"/>
      <name val="Arial"/>
      <family val="2"/>
    </font>
    <font>
      <sz val="10"/>
      <name val="Arial"/>
      <family val="2"/>
    </font>
    <font>
      <sz val="10"/>
      <color indexed="8"/>
      <name val="ARIAL"/>
      <charset val="1"/>
    </font>
    <font>
      <i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/>
  </cellStyleXfs>
  <cellXfs count="98">
    <xf numFmtId="0" fontId="0" fillId="0" borderId="0" xfId="0">
      <alignment vertical="top"/>
    </xf>
    <xf numFmtId="164" fontId="2" fillId="0" borderId="0" xfId="1" applyNumberFormat="1" applyFont="1">
      <alignment vertical="top"/>
    </xf>
    <xf numFmtId="164" fontId="0" fillId="0" borderId="0" xfId="1" applyNumberFormat="1" applyFont="1">
      <alignment vertical="top"/>
    </xf>
    <xf numFmtId="164" fontId="0" fillId="0" borderId="0" xfId="1" applyNumberFormat="1" applyFont="1" applyBorder="1">
      <alignment vertical="top"/>
    </xf>
    <xf numFmtId="164" fontId="2" fillId="0" borderId="0" xfId="1" applyNumberFormat="1" applyFont="1" applyAlignment="1">
      <alignment vertical="top" wrapText="1"/>
    </xf>
    <xf numFmtId="164" fontId="0" fillId="0" borderId="0" xfId="1" applyNumberFormat="1" applyFont="1" applyAlignment="1">
      <alignment vertical="top" wrapText="1"/>
    </xf>
    <xf numFmtId="164" fontId="4" fillId="0" borderId="0" xfId="1" applyNumberFormat="1" applyFont="1" applyAlignment="1">
      <alignment horizontal="right" vertical="top"/>
    </xf>
    <xf numFmtId="164" fontId="4" fillId="0" borderId="0" xfId="1" applyNumberFormat="1" applyFont="1">
      <alignment vertical="top"/>
    </xf>
    <xf numFmtId="164" fontId="1" fillId="0" borderId="0" xfId="1" applyNumberFormat="1" applyFont="1" applyAlignment="1">
      <alignment vertical="top" wrapText="1"/>
    </xf>
    <xf numFmtId="164" fontId="1" fillId="0" borderId="0" xfId="1" applyNumberFormat="1" applyFont="1">
      <alignment vertical="top"/>
    </xf>
    <xf numFmtId="164" fontId="1" fillId="0" borderId="0" xfId="1" applyNumberFormat="1" applyFont="1" applyFill="1" applyAlignment="1">
      <alignment vertical="top" wrapText="1"/>
    </xf>
    <xf numFmtId="164" fontId="4" fillId="0" borderId="0" xfId="1" applyNumberFormat="1" applyFont="1" applyAlignment="1">
      <alignment horizontal="left" vertical="top"/>
    </xf>
    <xf numFmtId="164" fontId="4" fillId="0" borderId="0" xfId="1" applyNumberFormat="1" applyFont="1" applyAlignment="1">
      <alignment vertical="top" wrapText="1"/>
    </xf>
    <xf numFmtId="164" fontId="0" fillId="0" borderId="0" xfId="1" applyNumberFormat="1" applyFont="1" applyBorder="1" applyAlignment="1">
      <alignment vertical="top" wrapText="1"/>
    </xf>
    <xf numFmtId="164" fontId="5" fillId="0" borderId="0" xfId="1" applyNumberFormat="1" applyFont="1" applyBorder="1" applyAlignment="1">
      <alignment horizontal="center" vertical="top"/>
    </xf>
    <xf numFmtId="164" fontId="5" fillId="0" borderId="0" xfId="1" applyNumberFormat="1" applyFont="1" applyBorder="1" applyAlignment="1">
      <alignment horizontal="center" vertical="top" wrapText="1"/>
    </xf>
    <xf numFmtId="164" fontId="5" fillId="0" borderId="0" xfId="1" applyNumberFormat="1" applyFont="1" applyBorder="1" applyAlignment="1">
      <alignment vertical="top" wrapText="1"/>
    </xf>
    <xf numFmtId="164" fontId="2" fillId="0" borderId="0" xfId="1" applyNumberFormat="1" applyFont="1" applyBorder="1" applyAlignment="1">
      <alignment vertical="top" wrapText="1"/>
    </xf>
    <xf numFmtId="164" fontId="1" fillId="0" borderId="0" xfId="1" applyNumberFormat="1" applyFont="1" applyBorder="1">
      <alignment vertical="top"/>
    </xf>
    <xf numFmtId="164" fontId="3" fillId="0" borderId="0" xfId="1" applyNumberFormat="1" applyFont="1" applyBorder="1" applyAlignment="1">
      <alignment vertical="top" wrapText="1"/>
    </xf>
    <xf numFmtId="164" fontId="1" fillId="0" borderId="0" xfId="1" applyNumberFormat="1" applyFont="1" applyFill="1" applyBorder="1" applyAlignment="1">
      <alignment vertical="top" wrapText="1"/>
    </xf>
    <xf numFmtId="164" fontId="1" fillId="0" borderId="0" xfId="1" applyNumberFormat="1" applyFont="1" applyBorder="1" applyAlignment="1">
      <alignment vertical="top" wrapText="1"/>
    </xf>
    <xf numFmtId="164" fontId="3" fillId="0" borderId="0" xfId="1" applyNumberFormat="1" applyFont="1" applyBorder="1">
      <alignment vertical="top"/>
    </xf>
    <xf numFmtId="164" fontId="0" fillId="0" borderId="0" xfId="1" applyNumberFormat="1" applyFont="1" applyFill="1" applyBorder="1" applyAlignment="1">
      <alignment vertical="top" wrapText="1"/>
    </xf>
    <xf numFmtId="164" fontId="1" fillId="0" borderId="0" xfId="1" applyNumberFormat="1" applyFont="1" applyBorder="1" applyAlignment="1">
      <alignment horizontal="right" vertical="top"/>
    </xf>
    <xf numFmtId="164" fontId="1" fillId="0" borderId="0" xfId="1" applyNumberFormat="1" applyFont="1" applyBorder="1" applyAlignment="1">
      <alignment horizontal="right" vertical="top" wrapText="1"/>
    </xf>
    <xf numFmtId="164" fontId="4" fillId="0" borderId="0" xfId="1" applyNumberFormat="1" applyFont="1" applyFill="1" applyBorder="1">
      <alignment vertical="top"/>
    </xf>
    <xf numFmtId="164" fontId="1" fillId="0" borderId="0" xfId="1" applyNumberFormat="1" applyFont="1" applyFill="1" applyBorder="1" applyAlignment="1">
      <alignment horizontal="right" vertical="top" wrapText="1"/>
    </xf>
    <xf numFmtId="164" fontId="6" fillId="0" borderId="0" xfId="1" applyNumberFormat="1" applyFont="1" applyBorder="1" applyAlignment="1">
      <alignment horizontal="right" vertical="top"/>
    </xf>
    <xf numFmtId="164" fontId="0" fillId="0" borderId="1" xfId="1" applyNumberFormat="1" applyFont="1" applyBorder="1">
      <alignment vertical="top"/>
    </xf>
    <xf numFmtId="164" fontId="0" fillId="0" borderId="1" xfId="1" applyNumberFormat="1" applyFont="1" applyBorder="1" applyAlignment="1">
      <alignment vertical="top" wrapText="1"/>
    </xf>
    <xf numFmtId="164" fontId="1" fillId="0" borderId="1" xfId="1" applyNumberFormat="1" applyFont="1" applyBorder="1">
      <alignment vertical="top"/>
    </xf>
    <xf numFmtId="164" fontId="0" fillId="0" borderId="2" xfId="1" applyNumberFormat="1" applyFont="1" applyBorder="1">
      <alignment vertical="top"/>
    </xf>
    <xf numFmtId="164" fontId="0" fillId="0" borderId="2" xfId="1" applyNumberFormat="1" applyFont="1" applyBorder="1" applyAlignment="1">
      <alignment vertical="top" wrapText="1"/>
    </xf>
    <xf numFmtId="164" fontId="1" fillId="0" borderId="2" xfId="1" applyNumberFormat="1" applyFont="1" applyBorder="1">
      <alignment vertical="top"/>
    </xf>
    <xf numFmtId="164" fontId="7" fillId="0" borderId="0" xfId="1" applyNumberFormat="1" applyFont="1">
      <alignment vertical="top"/>
    </xf>
    <xf numFmtId="164" fontId="8" fillId="0" borderId="0" xfId="1" applyNumberFormat="1" applyFont="1" applyAlignment="1">
      <alignment horizontal="center" vertical="top"/>
    </xf>
    <xf numFmtId="164" fontId="7" fillId="0" borderId="0" xfId="1" applyNumberFormat="1" applyFont="1" applyAlignment="1">
      <alignment vertical="top" wrapText="1"/>
    </xf>
    <xf numFmtId="164" fontId="7" fillId="0" borderId="2" xfId="1" applyNumberFormat="1" applyFont="1" applyBorder="1">
      <alignment vertical="top"/>
    </xf>
    <xf numFmtId="164" fontId="7" fillId="0" borderId="1" xfId="1" applyNumberFormat="1" applyFont="1" applyBorder="1">
      <alignment vertical="top"/>
    </xf>
    <xf numFmtId="164" fontId="7" fillId="0" borderId="0" xfId="1" applyNumberFormat="1" applyFont="1" applyBorder="1">
      <alignment vertical="top"/>
    </xf>
    <xf numFmtId="165" fontId="8" fillId="0" borderId="0" xfId="1" applyNumberFormat="1" applyFont="1" applyFill="1" applyAlignment="1">
      <alignment vertical="top" wrapText="1"/>
    </xf>
    <xf numFmtId="165" fontId="1" fillId="0" borderId="0" xfId="1" applyNumberFormat="1" applyFont="1" applyFill="1" applyBorder="1">
      <alignment vertical="top"/>
    </xf>
    <xf numFmtId="164" fontId="9" fillId="0" borderId="0" xfId="1" applyNumberFormat="1" applyFont="1">
      <alignment vertical="top"/>
    </xf>
    <xf numFmtId="165" fontId="1" fillId="0" borderId="0" xfId="1" applyNumberFormat="1" applyFont="1" applyBorder="1">
      <alignment vertical="top"/>
    </xf>
    <xf numFmtId="164" fontId="0" fillId="2" borderId="0" xfId="1" applyNumberFormat="1" applyFont="1" applyFill="1">
      <alignment vertical="top"/>
    </xf>
    <xf numFmtId="164" fontId="5" fillId="2" borderId="0" xfId="1" applyNumberFormat="1" applyFont="1" applyFill="1">
      <alignment vertical="top"/>
    </xf>
    <xf numFmtId="164" fontId="4" fillId="2" borderId="0" xfId="1" applyNumberFormat="1" applyFont="1" applyFill="1" applyAlignment="1">
      <alignment horizontal="center" vertical="top" wrapText="1"/>
    </xf>
    <xf numFmtId="164" fontId="1" fillId="2" borderId="1" xfId="1" applyNumberFormat="1" applyFont="1" applyFill="1" applyBorder="1">
      <alignment vertical="top"/>
    </xf>
    <xf numFmtId="164" fontId="0" fillId="2" borderId="2" xfId="1" applyNumberFormat="1" applyFont="1" applyFill="1" applyBorder="1">
      <alignment vertical="top"/>
    </xf>
    <xf numFmtId="164" fontId="1" fillId="2" borderId="2" xfId="1" applyNumberFormat="1" applyFont="1" applyFill="1" applyBorder="1">
      <alignment vertical="top"/>
    </xf>
    <xf numFmtId="164" fontId="0" fillId="2" borderId="0" xfId="1" applyNumberFormat="1" applyFont="1" applyFill="1" applyBorder="1">
      <alignment vertical="top"/>
    </xf>
    <xf numFmtId="164" fontId="9" fillId="2" borderId="0" xfId="1" applyNumberFormat="1" applyFont="1" applyFill="1">
      <alignment vertical="top"/>
    </xf>
    <xf numFmtId="164" fontId="8" fillId="0" borderId="0" xfId="1" applyNumberFormat="1" applyFont="1" applyAlignment="1">
      <alignment horizontal="center" vertical="top" wrapText="1"/>
    </xf>
    <xf numFmtId="1" fontId="0" fillId="0" borderId="0" xfId="0" applyNumberFormat="1">
      <alignment vertical="top"/>
    </xf>
    <xf numFmtId="0" fontId="0" fillId="0" borderId="0" xfId="0" applyAlignment="1">
      <alignment vertical="top" wrapText="1"/>
    </xf>
    <xf numFmtId="166" fontId="0" fillId="0" borderId="0" xfId="0" applyNumberFormat="1">
      <alignment vertical="top"/>
    </xf>
    <xf numFmtId="167" fontId="0" fillId="0" borderId="0" xfId="0" applyNumberFormat="1">
      <alignment vertical="top"/>
    </xf>
    <xf numFmtId="9" fontId="0" fillId="0" borderId="0" xfId="2" applyFont="1" applyAlignment="1">
      <alignment vertical="top"/>
    </xf>
    <xf numFmtId="164" fontId="1" fillId="0" borderId="0" xfId="1" applyNumberFormat="1" applyFont="1" applyFill="1">
      <alignment vertical="top"/>
    </xf>
    <xf numFmtId="164" fontId="0" fillId="2" borderId="0" xfId="1" applyNumberFormat="1" applyFont="1" applyFill="1" applyAlignment="1">
      <alignment vertical="top" wrapText="1"/>
    </xf>
    <xf numFmtId="164" fontId="5" fillId="0" borderId="0" xfId="1" applyNumberFormat="1" applyFont="1">
      <alignment vertical="top"/>
    </xf>
    <xf numFmtId="164" fontId="3" fillId="0" borderId="0" xfId="1" applyNumberFormat="1" applyFont="1" applyAlignment="1">
      <alignment vertical="top" wrapText="1"/>
    </xf>
    <xf numFmtId="0" fontId="1" fillId="0" borderId="0" xfId="0" applyFont="1">
      <alignment vertical="top"/>
    </xf>
    <xf numFmtId="164" fontId="1" fillId="2" borderId="0" xfId="1" applyNumberFormat="1" applyFont="1" applyFill="1" applyAlignment="1">
      <alignment vertical="top" wrapText="1"/>
    </xf>
    <xf numFmtId="164" fontId="5" fillId="0" borderId="0" xfId="1" applyNumberFormat="1" applyFont="1" applyAlignment="1">
      <alignment vertical="top"/>
    </xf>
    <xf numFmtId="164" fontId="0" fillId="0" borderId="0" xfId="1" applyNumberFormat="1" applyFont="1" applyAlignment="1">
      <alignment vertical="top"/>
    </xf>
    <xf numFmtId="164" fontId="11" fillId="0" borderId="0" xfId="1" applyNumberFormat="1" applyFont="1">
      <alignment vertical="top"/>
    </xf>
    <xf numFmtId="0" fontId="11" fillId="0" borderId="0" xfId="0" applyFont="1">
      <alignment vertical="top"/>
    </xf>
    <xf numFmtId="0" fontId="1" fillId="0" borderId="0" xfId="0" applyFont="1" applyAlignment="1">
      <alignment vertical="top" wrapText="1"/>
    </xf>
    <xf numFmtId="0" fontId="12" fillId="0" borderId="0" xfId="0" applyFont="1">
      <alignment vertical="top"/>
    </xf>
    <xf numFmtId="164" fontId="1" fillId="0" borderId="0" xfId="1" applyNumberFormat="1" applyFont="1" applyFill="1" applyBorder="1">
      <alignment vertical="top"/>
    </xf>
    <xf numFmtId="164" fontId="0" fillId="0" borderId="0" xfId="1" applyNumberFormat="1" applyFont="1" applyFill="1" applyBorder="1">
      <alignment vertical="top"/>
    </xf>
    <xf numFmtId="165" fontId="0" fillId="0" borderId="0" xfId="1" applyNumberFormat="1" applyFont="1" applyAlignment="1"/>
    <xf numFmtId="165" fontId="0" fillId="0" borderId="0" xfId="1" applyNumberFormat="1" applyFont="1" applyFill="1" applyAlignment="1"/>
    <xf numFmtId="164" fontId="4" fillId="0" borderId="0" xfId="1" applyNumberFormat="1" applyFont="1" applyAlignment="1">
      <alignment horizontal="left" vertical="top" wrapText="1"/>
    </xf>
    <xf numFmtId="164" fontId="1" fillId="0" borderId="0" xfId="1" applyNumberFormat="1" applyFont="1" applyAlignment="1">
      <alignment vertical="top"/>
    </xf>
    <xf numFmtId="164" fontId="4" fillId="0" borderId="0" xfId="1" applyNumberFormat="1" applyFont="1" applyAlignment="1">
      <alignment vertical="top"/>
    </xf>
    <xf numFmtId="164" fontId="7" fillId="0" borderId="0" xfId="1" applyNumberFormat="1" applyFont="1" applyAlignment="1">
      <alignment vertical="top"/>
    </xf>
    <xf numFmtId="164" fontId="0" fillId="0" borderId="0" xfId="1" applyNumberFormat="1" applyFont="1" applyBorder="1" applyAlignment="1">
      <alignment vertical="top"/>
    </xf>
    <xf numFmtId="164" fontId="1" fillId="0" borderId="0" xfId="1" applyNumberFormat="1" applyFont="1" applyBorder="1" applyAlignment="1">
      <alignment vertical="top"/>
    </xf>
    <xf numFmtId="164" fontId="0" fillId="2" borderId="0" xfId="1" applyNumberFormat="1" applyFont="1" applyFill="1" applyAlignment="1">
      <alignment vertical="top"/>
    </xf>
    <xf numFmtId="165" fontId="16" fillId="0" borderId="0" xfId="1" applyNumberFormat="1" applyFont="1" applyAlignment="1"/>
    <xf numFmtId="165" fontId="0" fillId="0" borderId="0" xfId="1" applyNumberFormat="1" applyFont="1">
      <alignment vertical="top"/>
    </xf>
    <xf numFmtId="165" fontId="17" fillId="0" borderId="0" xfId="1" applyNumberFormat="1" applyFont="1" applyAlignment="1"/>
    <xf numFmtId="165" fontId="6" fillId="0" borderId="0" xfId="1" applyNumberFormat="1" applyFont="1">
      <alignment vertical="top"/>
    </xf>
    <xf numFmtId="165" fontId="6" fillId="0" borderId="0" xfId="1" applyNumberFormat="1" applyFont="1" applyAlignment="1"/>
    <xf numFmtId="165" fontId="0" fillId="0" borderId="0" xfId="1" applyNumberFormat="1" applyFont="1" applyAlignment="1">
      <alignment wrapText="1"/>
    </xf>
    <xf numFmtId="165" fontId="15" fillId="0" borderId="0" xfId="1" applyNumberFormat="1" applyFont="1" applyAlignment="1"/>
    <xf numFmtId="165" fontId="4" fillId="0" borderId="0" xfId="1" applyNumberFormat="1" applyFont="1" applyAlignment="1"/>
    <xf numFmtId="165" fontId="4" fillId="0" borderId="0" xfId="1" applyNumberFormat="1" applyFont="1" applyFill="1" applyAlignment="1"/>
    <xf numFmtId="164" fontId="11" fillId="0" borderId="0" xfId="1" applyNumberFormat="1" applyFont="1" applyBorder="1" applyAlignment="1">
      <alignment horizontal="left"/>
    </xf>
    <xf numFmtId="164" fontId="2" fillId="0" borderId="0" xfId="1" applyNumberFormat="1" applyFont="1" applyAlignment="1">
      <alignment wrapText="1"/>
    </xf>
    <xf numFmtId="164" fontId="1" fillId="2" borderId="0" xfId="1" applyNumberFormat="1" applyFont="1" applyFill="1" applyAlignment="1">
      <alignment horizontal="left" wrapText="1"/>
    </xf>
    <xf numFmtId="9" fontId="11" fillId="0" borderId="0" xfId="2" applyFont="1" applyFill="1" applyAlignment="1">
      <alignment horizontal="left" vertical="top"/>
    </xf>
    <xf numFmtId="164" fontId="5" fillId="0" borderId="0" xfId="1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microsoft.com/office/2017/10/relationships/person" Target="persons/person6.xml"/><Relationship Id="rId18" Type="http://schemas.microsoft.com/office/2017/10/relationships/person" Target="persons/person11.xml"/><Relationship Id="rId26" Type="http://schemas.microsoft.com/office/2017/10/relationships/person" Target="persons/person16.xml"/><Relationship Id="rId3" Type="http://schemas.openxmlformats.org/officeDocument/2006/relationships/worksheet" Target="worksheets/sheet3.xml"/><Relationship Id="rId21" Type="http://schemas.microsoft.com/office/2017/10/relationships/person" Target="persons/person13.xml"/><Relationship Id="rId7" Type="http://schemas.microsoft.com/office/2017/10/relationships/person" Target="persons/person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25" Type="http://schemas.microsoft.com/office/2017/10/relationships/person" Target="persons/person15.xml"/><Relationship Id="rId2" Type="http://schemas.openxmlformats.org/officeDocument/2006/relationships/worksheet" Target="worksheets/sheet2.xml"/><Relationship Id="rId16" Type="http://schemas.microsoft.com/office/2017/10/relationships/person" Target="persons/person8.xml"/><Relationship Id="rId20" Type="http://schemas.microsoft.com/office/2017/10/relationships/person" Target="persons/person12.xml"/><Relationship Id="rId29" Type="http://schemas.microsoft.com/office/2017/10/relationships/person" Target="persons/person19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3.xml"/><Relationship Id="rId24" Type="http://schemas.microsoft.com/office/2017/10/relationships/person" Target="persons/person14.xml"/><Relationship Id="rId5" Type="http://schemas.openxmlformats.org/officeDocument/2006/relationships/styles" Target="styles.xml"/><Relationship Id="rId15" Type="http://schemas.microsoft.com/office/2017/10/relationships/person" Target="persons/person7.xml"/><Relationship Id="rId23" Type="http://schemas.microsoft.com/office/2017/10/relationships/person" Target="persons/person4.xml"/><Relationship Id="rId28" Type="http://schemas.microsoft.com/office/2017/10/relationships/person" Target="persons/person18.xml"/><Relationship Id="rId19" Type="http://schemas.microsoft.com/office/2017/10/relationships/person" Target="persons/person0.xml"/><Relationship Id="rId10" Type="http://schemas.microsoft.com/office/2017/10/relationships/person" Target="persons/person2.xml"/><Relationship Id="rId4" Type="http://schemas.openxmlformats.org/officeDocument/2006/relationships/theme" Target="theme/theme1.xml"/><Relationship Id="rId27" Type="http://schemas.microsoft.com/office/2017/10/relationships/person" Target="persons/person20.xml"/><Relationship Id="rId22" Type="http://schemas.microsoft.com/office/2017/10/relationships/person" Target="persons/person17.xml"/><Relationship Id="rId9" Type="http://schemas.microsoft.com/office/2017/10/relationships/person" Target="persons/person1.xml"/><Relationship Id="rId14" Type="http://schemas.microsoft.com/office/2017/10/relationships/person" Target="persons/person9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 fitToPage="1"/>
  </sheetPr>
  <dimension ref="A1:O76"/>
  <sheetViews>
    <sheetView tabSelected="1" workbookViewId="0">
      <pane ySplit="4" topLeftCell="A5" activePane="bottomLeft" state="frozen"/>
      <selection pane="bottomLeft" activeCell="A4" sqref="A4"/>
    </sheetView>
  </sheetViews>
  <sheetFormatPr defaultRowHeight="12.75" customHeight="1" x14ac:dyDescent="0.25"/>
  <cols>
    <col min="1" max="1" width="15.7265625" style="7" customWidth="1"/>
    <col min="2" max="2" width="18.6328125" style="5" customWidth="1"/>
    <col min="3" max="3" width="11.1796875" style="35" customWidth="1"/>
    <col min="4" max="4" width="12.453125" style="2" customWidth="1"/>
    <col min="5" max="5" width="12.36328125" style="2" customWidth="1"/>
    <col min="6" max="6" width="12.1796875" style="2" hidden="1" customWidth="1"/>
    <col min="7" max="7" width="22.08984375" style="5" hidden="1" customWidth="1"/>
    <col min="8" max="8" width="10.6328125" style="2" customWidth="1"/>
    <col min="9" max="9" width="13.08984375" style="2" customWidth="1"/>
    <col min="10" max="10" width="15.26953125" style="45" customWidth="1"/>
    <col min="11" max="11" width="29.7265625" style="2" customWidth="1"/>
    <col min="12" max="12" width="14.08984375" style="45" customWidth="1"/>
    <col min="14" max="14" width="13.90625" style="2" customWidth="1"/>
    <col min="15" max="252" width="21.453125" style="2" customWidth="1"/>
    <col min="253" max="16384" width="8.7265625" style="2"/>
  </cols>
  <sheetData>
    <row r="1" spans="1:14" s="5" customFormat="1" ht="17.5" customHeight="1" x14ac:dyDescent="0.25">
      <c r="A1" s="65" t="s">
        <v>37</v>
      </c>
      <c r="B1" s="66"/>
      <c r="C1" s="37"/>
      <c r="D1" s="13"/>
      <c r="E1" s="13"/>
      <c r="F1" s="13"/>
      <c r="G1" s="13"/>
      <c r="H1" s="13"/>
      <c r="I1" s="13"/>
      <c r="J1" s="60" t="s">
        <v>88</v>
      </c>
      <c r="L1" s="60" t="s">
        <v>89</v>
      </c>
      <c r="M1" s="55"/>
      <c r="N1" s="64" t="s">
        <v>92</v>
      </c>
    </row>
    <row r="2" spans="1:14" ht="50" customHeight="1" x14ac:dyDescent="0.25">
      <c r="A2" s="61" t="s">
        <v>102</v>
      </c>
      <c r="D2" s="3"/>
      <c r="E2" s="3"/>
      <c r="F2" s="3"/>
      <c r="G2" s="13"/>
      <c r="H2" s="3"/>
      <c r="I2" s="3"/>
      <c r="J2" s="60" t="s">
        <v>104</v>
      </c>
      <c r="L2" s="60" t="s">
        <v>90</v>
      </c>
      <c r="N2" s="64" t="s">
        <v>91</v>
      </c>
    </row>
    <row r="3" spans="1:14" s="1" customFormat="1" ht="20" customHeight="1" x14ac:dyDescent="0.25">
      <c r="B3" s="4"/>
      <c r="C3" s="36" t="s">
        <v>66</v>
      </c>
      <c r="D3" s="95" t="s">
        <v>50</v>
      </c>
      <c r="E3" s="95"/>
      <c r="F3" s="95"/>
      <c r="G3" s="95"/>
      <c r="H3" s="95"/>
      <c r="I3" s="14"/>
      <c r="J3" s="46" t="s">
        <v>52</v>
      </c>
      <c r="L3" s="46" t="s">
        <v>52</v>
      </c>
      <c r="N3" s="46" t="s">
        <v>52</v>
      </c>
    </row>
    <row r="4" spans="1:14" s="4" customFormat="1" ht="32.5" customHeight="1" x14ac:dyDescent="0.25">
      <c r="C4" s="53" t="s">
        <v>76</v>
      </c>
      <c r="D4" s="15" t="s">
        <v>86</v>
      </c>
      <c r="E4" s="15" t="s">
        <v>116</v>
      </c>
      <c r="F4" s="16" t="s">
        <v>41</v>
      </c>
      <c r="G4" s="17"/>
      <c r="H4" s="15" t="s">
        <v>51</v>
      </c>
      <c r="I4" s="15"/>
      <c r="J4" s="47" t="s">
        <v>53</v>
      </c>
      <c r="L4" s="47" t="s">
        <v>87</v>
      </c>
      <c r="N4" s="47" t="s">
        <v>87</v>
      </c>
    </row>
    <row r="5" spans="1:14" s="4" customFormat="1" ht="32.5" customHeight="1" x14ac:dyDescent="0.6">
      <c r="C5" s="53"/>
      <c r="D5" s="91" t="s">
        <v>166</v>
      </c>
      <c r="E5" s="15"/>
      <c r="F5" s="16"/>
      <c r="G5" s="17"/>
      <c r="H5" s="15"/>
      <c r="I5" s="15"/>
      <c r="J5" s="93">
        <f>+J7-D7</f>
        <v>15556.773000000001</v>
      </c>
      <c r="K5" s="92"/>
      <c r="L5" s="93">
        <f>+L7-D7</f>
        <v>4850.5979999999981</v>
      </c>
      <c r="M5" s="92"/>
      <c r="N5" s="93">
        <f>+N7-D7</f>
        <v>9150.5979999999981</v>
      </c>
    </row>
    <row r="6" spans="1:14" ht="22.5" customHeight="1" x14ac:dyDescent="0.25">
      <c r="A6" s="2"/>
      <c r="D6" s="67" t="s">
        <v>103</v>
      </c>
      <c r="F6" s="3"/>
      <c r="G6" s="13"/>
      <c r="H6" s="18"/>
      <c r="I6" s="18"/>
      <c r="J6" s="94">
        <f>+J7/E7</f>
        <v>1.2731614197857177</v>
      </c>
      <c r="K6" s="67"/>
      <c r="L6" s="94">
        <f>+L7/H7</f>
        <v>1.0851354042668879</v>
      </c>
      <c r="M6" s="68"/>
      <c r="N6" s="94">
        <f>+N7/H7</f>
        <v>1.160653679162541</v>
      </c>
    </row>
    <row r="7" spans="1:14" ht="13" x14ac:dyDescent="0.25">
      <c r="A7" s="11" t="s">
        <v>34</v>
      </c>
      <c r="B7" s="5" t="s">
        <v>15</v>
      </c>
      <c r="C7" s="35">
        <v>52890</v>
      </c>
      <c r="D7" s="3">
        <v>56936.86</v>
      </c>
      <c r="E7" s="3">
        <v>56939.86</v>
      </c>
      <c r="F7" s="3">
        <f>+D7-E7</f>
        <v>-3</v>
      </c>
      <c r="G7" s="13"/>
      <c r="H7" s="18">
        <f>+E7</f>
        <v>56939.86</v>
      </c>
      <c r="I7" s="18"/>
      <c r="J7" s="45">
        <f>+J69-J10</f>
        <v>72493.633000000002</v>
      </c>
      <c r="K7" s="59"/>
      <c r="L7" s="45">
        <f>+L69-L10-L9</f>
        <v>61787.457999999999</v>
      </c>
      <c r="N7" s="45">
        <f>+N69-N10-N9</f>
        <v>66087.457999999999</v>
      </c>
    </row>
    <row r="8" spans="1:14" ht="13" x14ac:dyDescent="0.25">
      <c r="B8" s="5" t="s">
        <v>85</v>
      </c>
      <c r="C8" s="35">
        <v>350</v>
      </c>
      <c r="D8" s="3"/>
      <c r="E8" s="3">
        <v>500</v>
      </c>
      <c r="F8" s="3">
        <f t="shared" ref="F8:F12" si="0">+D8-E8</f>
        <v>-500</v>
      </c>
      <c r="G8" s="19" t="s">
        <v>40</v>
      </c>
      <c r="H8" s="18">
        <v>2000</v>
      </c>
      <c r="I8" s="18" t="s">
        <v>126</v>
      </c>
      <c r="K8" s="8"/>
      <c r="N8" s="45"/>
    </row>
    <row r="9" spans="1:14" ht="25" x14ac:dyDescent="0.25">
      <c r="B9" s="5" t="s">
        <v>16</v>
      </c>
      <c r="C9" s="35">
        <v>116</v>
      </c>
      <c r="D9" s="3">
        <v>60</v>
      </c>
      <c r="E9" s="3">
        <v>422</v>
      </c>
      <c r="F9" s="3">
        <f t="shared" si="0"/>
        <v>-362</v>
      </c>
      <c r="G9" s="19" t="s">
        <v>39</v>
      </c>
      <c r="H9" s="18">
        <v>600</v>
      </c>
      <c r="I9" s="18"/>
      <c r="J9" s="45">
        <v>500</v>
      </c>
      <c r="L9" s="45">
        <v>500</v>
      </c>
      <c r="N9" s="45">
        <v>500</v>
      </c>
    </row>
    <row r="10" spans="1:14" ht="13" x14ac:dyDescent="0.25">
      <c r="B10" s="5" t="s">
        <v>17</v>
      </c>
      <c r="C10" s="35">
        <v>2025</v>
      </c>
      <c r="D10" s="3">
        <v>1500</v>
      </c>
      <c r="E10" s="3">
        <v>1400</v>
      </c>
      <c r="F10" s="3">
        <f t="shared" si="0"/>
        <v>100</v>
      </c>
      <c r="G10" s="19"/>
      <c r="H10" s="18">
        <f>+E10+450</f>
        <v>1850</v>
      </c>
      <c r="I10" s="18"/>
      <c r="J10" s="45">
        <v>1500</v>
      </c>
      <c r="L10" s="45">
        <v>1500</v>
      </c>
      <c r="N10" s="45">
        <v>1500</v>
      </c>
    </row>
    <row r="11" spans="1:14" ht="25" x14ac:dyDescent="0.25">
      <c r="B11" s="5" t="s">
        <v>18</v>
      </c>
      <c r="C11" s="35">
        <v>30</v>
      </c>
      <c r="D11" s="3">
        <v>10</v>
      </c>
      <c r="E11" s="3">
        <v>80</v>
      </c>
      <c r="F11" s="3">
        <f t="shared" si="0"/>
        <v>-70</v>
      </c>
      <c r="G11" s="13"/>
      <c r="H11" s="18">
        <v>80</v>
      </c>
      <c r="I11" s="18"/>
      <c r="J11" s="45">
        <v>20</v>
      </c>
      <c r="K11" s="5" t="s">
        <v>78</v>
      </c>
      <c r="L11" s="45">
        <v>20</v>
      </c>
      <c r="N11" s="45">
        <v>20</v>
      </c>
    </row>
    <row r="12" spans="1:14" ht="13" x14ac:dyDescent="0.25">
      <c r="B12" s="5" t="s">
        <v>19</v>
      </c>
      <c r="D12" s="3"/>
      <c r="E12" s="3">
        <v>26829.46</v>
      </c>
      <c r="F12" s="3">
        <f t="shared" si="0"/>
        <v>-26829.46</v>
      </c>
      <c r="G12" s="19"/>
      <c r="H12" s="18">
        <f>-F12+24290</f>
        <v>51119.46</v>
      </c>
      <c r="I12" s="18"/>
      <c r="K12" s="2" t="s">
        <v>75</v>
      </c>
      <c r="N12" s="45"/>
    </row>
    <row r="13" spans="1:14" ht="13.5" thickBot="1" x14ac:dyDescent="0.3">
      <c r="C13" s="39">
        <f>SUM(C7:C12)</f>
        <v>55411</v>
      </c>
      <c r="D13" s="29">
        <f>SUM(D7:D12)</f>
        <v>58506.86</v>
      </c>
      <c r="E13" s="29">
        <f>SUM(E7:E12)</f>
        <v>86171.32</v>
      </c>
      <c r="F13" s="29">
        <f>SUM(F7:F12)</f>
        <v>-27664.46</v>
      </c>
      <c r="G13" s="30"/>
      <c r="H13" s="31">
        <f>SUM(H7:H12)</f>
        <v>112589.32</v>
      </c>
      <c r="I13" s="31"/>
      <c r="J13" s="48">
        <f>SUM(J7:J12)</f>
        <v>74513.633000000002</v>
      </c>
      <c r="L13" s="48">
        <f>SUM(L7:L12)</f>
        <v>63807.457999999999</v>
      </c>
      <c r="N13" s="48">
        <f>SUM(N7:N12)</f>
        <v>68107.457999999999</v>
      </c>
    </row>
    <row r="14" spans="1:14" ht="13" x14ac:dyDescent="0.25">
      <c r="D14" s="3"/>
      <c r="E14" s="3"/>
      <c r="F14" s="3"/>
      <c r="G14" s="13"/>
      <c r="H14" s="18"/>
      <c r="I14" s="18"/>
      <c r="N14" s="45"/>
    </row>
    <row r="15" spans="1:14" ht="13" x14ac:dyDescent="0.25">
      <c r="A15" s="75" t="s">
        <v>158</v>
      </c>
      <c r="D15" s="3"/>
      <c r="E15" s="3"/>
      <c r="F15" s="3"/>
      <c r="G15" s="13"/>
      <c r="H15" s="18"/>
      <c r="I15" s="18"/>
      <c r="N15" s="45"/>
    </row>
    <row r="16" spans="1:14" ht="13" x14ac:dyDescent="0.25">
      <c r="A16" s="7" t="s">
        <v>157</v>
      </c>
      <c r="B16" s="5" t="s">
        <v>0</v>
      </c>
      <c r="C16" s="35">
        <v>1788</v>
      </c>
      <c r="D16" s="3">
        <v>2000</v>
      </c>
      <c r="E16" s="3">
        <v>1229</v>
      </c>
      <c r="F16" s="3">
        <f t="shared" ref="F16:F24" si="1">+D16-E16</f>
        <v>771</v>
      </c>
      <c r="G16" s="20"/>
      <c r="H16" s="18">
        <f>+E16</f>
        <v>1229</v>
      </c>
      <c r="I16" s="18"/>
      <c r="J16" s="45">
        <v>1230</v>
      </c>
      <c r="K16" s="9" t="s">
        <v>54</v>
      </c>
      <c r="L16" s="45">
        <v>1230</v>
      </c>
      <c r="N16" s="45">
        <v>1230</v>
      </c>
    </row>
    <row r="17" spans="1:14" ht="13" x14ac:dyDescent="0.25">
      <c r="A17" s="11"/>
      <c r="B17" s="8" t="s">
        <v>77</v>
      </c>
      <c r="D17" s="3"/>
      <c r="E17" s="3"/>
      <c r="F17" s="3"/>
      <c r="G17" s="20"/>
      <c r="H17" s="18">
        <v>175</v>
      </c>
      <c r="I17" s="18"/>
      <c r="J17" s="45">
        <v>540</v>
      </c>
      <c r="K17" s="9"/>
      <c r="L17" s="45">
        <v>540</v>
      </c>
      <c r="N17" s="45">
        <v>540</v>
      </c>
    </row>
    <row r="18" spans="1:14" ht="13" x14ac:dyDescent="0.25">
      <c r="B18" s="5" t="s">
        <v>1</v>
      </c>
      <c r="C18" s="35">
        <v>37</v>
      </c>
      <c r="D18" s="3">
        <v>300</v>
      </c>
      <c r="E18" s="3">
        <v>292</v>
      </c>
      <c r="F18" s="3">
        <f t="shared" si="1"/>
        <v>8</v>
      </c>
      <c r="G18" s="21"/>
      <c r="H18" s="18">
        <v>300</v>
      </c>
      <c r="I18" s="18"/>
      <c r="J18" s="45">
        <v>250</v>
      </c>
      <c r="K18" s="9" t="s">
        <v>55</v>
      </c>
      <c r="L18" s="45">
        <v>250</v>
      </c>
      <c r="N18" s="45">
        <v>250</v>
      </c>
    </row>
    <row r="19" spans="1:14" ht="25" x14ac:dyDescent="0.25">
      <c r="B19" s="5" t="s">
        <v>2</v>
      </c>
      <c r="C19" s="35">
        <v>538</v>
      </c>
      <c r="D19" s="3">
        <v>1500</v>
      </c>
      <c r="E19" s="22">
        <v>890</v>
      </c>
      <c r="F19" s="3">
        <f t="shared" si="1"/>
        <v>610</v>
      </c>
      <c r="G19" s="20"/>
      <c r="H19" s="18">
        <v>890</v>
      </c>
      <c r="I19" s="18"/>
      <c r="J19" s="45">
        <f>900*1.075</f>
        <v>967.5</v>
      </c>
      <c r="K19" s="9" t="s">
        <v>56</v>
      </c>
      <c r="L19" s="45">
        <f>900*1.075</f>
        <v>967.5</v>
      </c>
      <c r="N19" s="45">
        <f>900*1.075</f>
        <v>967.5</v>
      </c>
    </row>
    <row r="20" spans="1:14" ht="13" x14ac:dyDescent="0.25">
      <c r="B20" s="5" t="s">
        <v>3</v>
      </c>
      <c r="C20" s="35">
        <v>210</v>
      </c>
      <c r="D20" s="3">
        <v>400</v>
      </c>
      <c r="E20" s="3">
        <v>169</v>
      </c>
      <c r="F20" s="3">
        <f t="shared" si="1"/>
        <v>231</v>
      </c>
      <c r="G20" s="13"/>
      <c r="H20" s="18">
        <v>400</v>
      </c>
      <c r="I20" s="18"/>
      <c r="J20" s="45">
        <v>400</v>
      </c>
      <c r="K20" s="8"/>
      <c r="L20" s="45">
        <v>400</v>
      </c>
      <c r="N20" s="45">
        <v>400</v>
      </c>
    </row>
    <row r="21" spans="1:14" s="66" customFormat="1" ht="13" x14ac:dyDescent="0.25">
      <c r="A21" s="77"/>
      <c r="B21" s="76" t="s">
        <v>159</v>
      </c>
      <c r="C21" s="78">
        <v>14620</v>
      </c>
      <c r="D21" s="79">
        <v>17000</v>
      </c>
      <c r="E21" s="79">
        <v>11085</v>
      </c>
      <c r="F21" s="79">
        <f t="shared" si="1"/>
        <v>5915</v>
      </c>
      <c r="G21" s="80" t="s">
        <v>45</v>
      </c>
      <c r="H21" s="80">
        <f>+E21/8*12</f>
        <v>16627.5</v>
      </c>
      <c r="I21" s="80"/>
      <c r="J21" s="81">
        <v>17409</v>
      </c>
      <c r="K21" s="76" t="s">
        <v>117</v>
      </c>
      <c r="L21" s="81">
        <f>+J21</f>
        <v>17409</v>
      </c>
      <c r="M21"/>
      <c r="N21" s="81">
        <v>17409</v>
      </c>
    </row>
    <row r="22" spans="1:14" ht="25" x14ac:dyDescent="0.25">
      <c r="B22" s="5" t="s">
        <v>4</v>
      </c>
      <c r="C22" s="35">
        <v>1029</v>
      </c>
      <c r="D22" s="3">
        <v>2000</v>
      </c>
      <c r="E22" s="3">
        <v>2393</v>
      </c>
      <c r="F22" s="3">
        <f t="shared" si="1"/>
        <v>-393</v>
      </c>
      <c r="G22" s="20"/>
      <c r="H22" s="18">
        <f>17844*0.215</f>
        <v>3836.46</v>
      </c>
      <c r="I22" s="18"/>
      <c r="J22" s="45">
        <f>(17844*1.05)*0.215</f>
        <v>4028.2829999999999</v>
      </c>
      <c r="K22" s="2" t="s">
        <v>72</v>
      </c>
      <c r="L22" s="45">
        <f>(17844*1.05)*0.215</f>
        <v>4028.2829999999999</v>
      </c>
      <c r="N22" s="45">
        <f>(17844*1.05)*0.215</f>
        <v>4028.2829999999999</v>
      </c>
    </row>
    <row r="23" spans="1:14" ht="25" x14ac:dyDescent="0.25">
      <c r="B23" s="5" t="s">
        <v>5</v>
      </c>
      <c r="C23" s="35">
        <v>2493</v>
      </c>
      <c r="D23" s="3">
        <v>3250</v>
      </c>
      <c r="E23" s="3">
        <v>1212</v>
      </c>
      <c r="F23" s="3">
        <f t="shared" si="1"/>
        <v>2038</v>
      </c>
      <c r="G23" s="19"/>
      <c r="H23" s="18">
        <f>+E23+625</f>
        <v>1837</v>
      </c>
      <c r="I23" s="18"/>
      <c r="J23" s="45">
        <f>+J21*0.15</f>
        <v>2611.35</v>
      </c>
      <c r="K23" s="8" t="s">
        <v>121</v>
      </c>
      <c r="L23" s="45">
        <f>+L21*0.15</f>
        <v>2611.35</v>
      </c>
      <c r="N23" s="45">
        <f>+N21*0.15</f>
        <v>2611.35</v>
      </c>
    </row>
    <row r="24" spans="1:14" ht="25" x14ac:dyDescent="0.25">
      <c r="B24" s="5" t="s">
        <v>6</v>
      </c>
      <c r="C24" s="35">
        <v>312</v>
      </c>
      <c r="D24" s="3">
        <v>350</v>
      </c>
      <c r="E24" s="3">
        <v>208</v>
      </c>
      <c r="F24" s="3">
        <f t="shared" si="1"/>
        <v>142</v>
      </c>
      <c r="G24" s="13"/>
      <c r="H24" s="18">
        <v>310</v>
      </c>
      <c r="I24" s="18"/>
      <c r="J24" s="45">
        <f>+H24</f>
        <v>310</v>
      </c>
      <c r="K24" s="9" t="s">
        <v>57</v>
      </c>
      <c r="L24" s="45">
        <v>310</v>
      </c>
      <c r="N24" s="45">
        <v>310</v>
      </c>
    </row>
    <row r="25" spans="1:14" ht="13" x14ac:dyDescent="0.25">
      <c r="B25" s="8" t="s">
        <v>67</v>
      </c>
      <c r="C25" s="35">
        <v>782</v>
      </c>
      <c r="D25" s="3"/>
      <c r="E25" s="3"/>
      <c r="F25" s="3"/>
      <c r="G25" s="13"/>
      <c r="H25" s="18"/>
      <c r="I25" s="18"/>
      <c r="K25" s="9"/>
      <c r="N25" s="45"/>
    </row>
    <row r="26" spans="1:14" ht="13" x14ac:dyDescent="0.25">
      <c r="B26" s="5" t="s">
        <v>7</v>
      </c>
      <c r="C26" s="35">
        <v>185</v>
      </c>
      <c r="D26" s="3">
        <v>200</v>
      </c>
      <c r="E26" s="3">
        <v>118</v>
      </c>
      <c r="F26" s="3">
        <f t="shared" ref="F26:F33" si="2">+D26-E26</f>
        <v>82</v>
      </c>
      <c r="G26" s="13"/>
      <c r="H26" s="18">
        <v>165</v>
      </c>
      <c r="I26" s="18"/>
      <c r="J26" s="45">
        <v>200</v>
      </c>
      <c r="K26" s="8"/>
      <c r="L26" s="45">
        <v>200</v>
      </c>
      <c r="N26" s="45">
        <v>200</v>
      </c>
    </row>
    <row r="27" spans="1:14" ht="13" x14ac:dyDescent="0.25">
      <c r="B27" s="5" t="s">
        <v>8</v>
      </c>
      <c r="C27" s="35">
        <v>315</v>
      </c>
      <c r="D27" s="3">
        <v>350</v>
      </c>
      <c r="E27" s="3">
        <v>342</v>
      </c>
      <c r="F27" s="3">
        <f t="shared" si="2"/>
        <v>8</v>
      </c>
      <c r="G27" s="20"/>
      <c r="H27" s="18">
        <v>350</v>
      </c>
      <c r="I27" s="18"/>
      <c r="J27" s="45">
        <v>350</v>
      </c>
      <c r="K27" s="9" t="s">
        <v>58</v>
      </c>
      <c r="L27" s="45">
        <v>370</v>
      </c>
      <c r="N27" s="45">
        <v>370</v>
      </c>
    </row>
    <row r="28" spans="1:14" ht="13" x14ac:dyDescent="0.25">
      <c r="B28" s="5" t="s">
        <v>9</v>
      </c>
      <c r="C28" s="35">
        <v>146</v>
      </c>
      <c r="D28" s="3">
        <v>750</v>
      </c>
      <c r="E28" s="3">
        <v>482</v>
      </c>
      <c r="F28" s="3">
        <f t="shared" si="2"/>
        <v>268</v>
      </c>
      <c r="G28" s="19"/>
      <c r="H28" s="18">
        <v>750</v>
      </c>
      <c r="I28" s="18"/>
      <c r="J28" s="45">
        <v>750</v>
      </c>
      <c r="L28" s="45">
        <v>750</v>
      </c>
      <c r="N28" s="45">
        <v>750</v>
      </c>
    </row>
    <row r="29" spans="1:14" ht="13" x14ac:dyDescent="0.25">
      <c r="B29" s="5" t="s">
        <v>10</v>
      </c>
      <c r="C29" s="35">
        <v>329</v>
      </c>
      <c r="D29" s="3">
        <v>850</v>
      </c>
      <c r="E29" s="3">
        <v>426</v>
      </c>
      <c r="F29" s="3">
        <f t="shared" si="2"/>
        <v>424</v>
      </c>
      <c r="G29" s="19"/>
      <c r="H29" s="18">
        <v>500</v>
      </c>
      <c r="I29" s="18"/>
      <c r="J29" s="45">
        <v>500</v>
      </c>
      <c r="L29" s="45">
        <v>500</v>
      </c>
      <c r="N29" s="45">
        <v>500</v>
      </c>
    </row>
    <row r="30" spans="1:14" ht="13" x14ac:dyDescent="0.25">
      <c r="B30" s="5" t="s">
        <v>11</v>
      </c>
      <c r="C30" s="35">
        <v>606</v>
      </c>
      <c r="D30" s="3">
        <v>1000</v>
      </c>
      <c r="E30" s="3">
        <v>302</v>
      </c>
      <c r="F30" s="3">
        <f t="shared" si="2"/>
        <v>698</v>
      </c>
      <c r="G30" s="19"/>
      <c r="H30" s="18">
        <v>500</v>
      </c>
      <c r="I30" s="18"/>
      <c r="J30" s="45">
        <v>500</v>
      </c>
      <c r="L30" s="45">
        <v>500</v>
      </c>
      <c r="N30" s="45">
        <v>500</v>
      </c>
    </row>
    <row r="31" spans="1:14" ht="25" x14ac:dyDescent="0.25">
      <c r="B31" s="5" t="s">
        <v>71</v>
      </c>
      <c r="C31" s="35">
        <v>668</v>
      </c>
      <c r="D31" s="3">
        <v>600</v>
      </c>
      <c r="E31" s="3">
        <v>418</v>
      </c>
      <c r="F31" s="3">
        <f t="shared" si="2"/>
        <v>182</v>
      </c>
      <c r="G31" s="19"/>
      <c r="H31" s="18">
        <f>+E31+330</f>
        <v>748</v>
      </c>
      <c r="I31" s="18"/>
      <c r="J31" s="45">
        <v>800</v>
      </c>
      <c r="K31" s="2" t="s">
        <v>59</v>
      </c>
      <c r="L31" s="45">
        <v>800</v>
      </c>
      <c r="N31" s="45">
        <v>800</v>
      </c>
    </row>
    <row r="32" spans="1:14" ht="13" x14ac:dyDescent="0.25">
      <c r="B32" s="5" t="s">
        <v>12</v>
      </c>
      <c r="C32" s="35">
        <v>240</v>
      </c>
      <c r="D32" s="3">
        <v>300</v>
      </c>
      <c r="E32" s="3">
        <v>153</v>
      </c>
      <c r="F32" s="3">
        <f t="shared" si="2"/>
        <v>147</v>
      </c>
      <c r="G32" s="19"/>
      <c r="H32" s="18">
        <v>250</v>
      </c>
      <c r="I32" s="18"/>
      <c r="J32" s="45">
        <f>300*1.075</f>
        <v>322.5</v>
      </c>
      <c r="K32" s="2" t="s">
        <v>59</v>
      </c>
      <c r="L32" s="45">
        <f>300*1.075</f>
        <v>322.5</v>
      </c>
      <c r="N32" s="45">
        <f>300*1.075</f>
        <v>322.5</v>
      </c>
    </row>
    <row r="33" spans="1:15" ht="13.5" thickBot="1" x14ac:dyDescent="0.3">
      <c r="B33" s="5" t="s">
        <v>13</v>
      </c>
      <c r="C33" s="35">
        <v>5140</v>
      </c>
      <c r="D33" s="3">
        <v>5139.8599999999997</v>
      </c>
      <c r="E33" s="3">
        <v>2570</v>
      </c>
      <c r="F33" s="3">
        <f t="shared" si="2"/>
        <v>2569.8599999999997</v>
      </c>
      <c r="G33" s="13"/>
      <c r="H33" s="18">
        <v>5140</v>
      </c>
      <c r="I33" s="18"/>
      <c r="J33" s="45">
        <v>5140</v>
      </c>
      <c r="L33" s="45">
        <v>5140</v>
      </c>
      <c r="N33" s="45">
        <v>5140</v>
      </c>
    </row>
    <row r="34" spans="1:15" ht="13.5" thickTop="1" x14ac:dyDescent="0.25">
      <c r="C34" s="38">
        <f>SUM(C16:C33)</f>
        <v>29438</v>
      </c>
      <c r="D34" s="32">
        <f>SUM(D16:D33)</f>
        <v>35989.86</v>
      </c>
      <c r="E34" s="32">
        <f t="shared" ref="E34:H34" si="3">SUM(E16:E33)</f>
        <v>22289</v>
      </c>
      <c r="F34" s="32">
        <f t="shared" si="3"/>
        <v>13700.86</v>
      </c>
      <c r="G34" s="32">
        <f t="shared" si="3"/>
        <v>0</v>
      </c>
      <c r="H34" s="32">
        <f t="shared" si="3"/>
        <v>34007.96</v>
      </c>
      <c r="I34" s="32"/>
      <c r="J34" s="49">
        <f t="shared" ref="J34" si="4">SUM(J16:J33)</f>
        <v>36308.633000000002</v>
      </c>
      <c r="L34" s="49">
        <f t="shared" ref="L34" si="5">SUM(L16:L33)</f>
        <v>36328.633000000002</v>
      </c>
      <c r="N34" s="49">
        <f>SUM(N16:N33)</f>
        <v>36328.633000000002</v>
      </c>
    </row>
    <row r="35" spans="1:15" ht="13" x14ac:dyDescent="0.25">
      <c r="D35" s="3"/>
      <c r="E35" s="3"/>
      <c r="F35" s="3"/>
      <c r="G35" s="13"/>
      <c r="H35" s="18"/>
      <c r="I35" s="18"/>
      <c r="N35" s="45"/>
    </row>
    <row r="36" spans="1:15" ht="13" x14ac:dyDescent="0.25">
      <c r="D36" s="3"/>
      <c r="E36" s="3"/>
      <c r="F36" s="3"/>
      <c r="G36" s="13"/>
      <c r="H36" s="18"/>
      <c r="I36" s="18"/>
      <c r="N36" s="45"/>
    </row>
    <row r="37" spans="1:15" ht="37.5" x14ac:dyDescent="0.25">
      <c r="A37" s="6" t="s">
        <v>60</v>
      </c>
      <c r="B37" s="8" t="s">
        <v>118</v>
      </c>
      <c r="C37" s="37">
        <v>2983</v>
      </c>
      <c r="D37" s="3">
        <v>5000</v>
      </c>
      <c r="E37" s="71">
        <f>5927-1708-150</f>
        <v>4069</v>
      </c>
      <c r="F37" s="3">
        <f>+D37-E37</f>
        <v>931</v>
      </c>
      <c r="G37" s="13" t="s">
        <v>47</v>
      </c>
      <c r="H37" s="18">
        <f>5000+3000</f>
        <v>8000</v>
      </c>
      <c r="I37" s="18" t="s">
        <v>124</v>
      </c>
      <c r="J37" s="45">
        <v>5000</v>
      </c>
      <c r="L37" s="45">
        <v>3700</v>
      </c>
      <c r="N37" s="45">
        <v>4500</v>
      </c>
      <c r="O37" s="9" t="s">
        <v>99</v>
      </c>
    </row>
    <row r="38" spans="1:15" ht="25" x14ac:dyDescent="0.25">
      <c r="A38" s="6"/>
      <c r="B38" s="8" t="s">
        <v>119</v>
      </c>
      <c r="C38" s="37"/>
      <c r="D38" s="3"/>
      <c r="E38" s="72">
        <v>1708</v>
      </c>
      <c r="F38" s="3"/>
      <c r="G38" s="13"/>
      <c r="H38" s="18">
        <f>8500+E38</f>
        <v>10208</v>
      </c>
      <c r="I38" s="21" t="s">
        <v>64</v>
      </c>
      <c r="J38" s="45">
        <v>10000</v>
      </c>
      <c r="L38" s="45">
        <v>4500</v>
      </c>
      <c r="N38" s="45">
        <v>7000</v>
      </c>
      <c r="O38" s="9" t="s">
        <v>99</v>
      </c>
    </row>
    <row r="39" spans="1:15" ht="13" x14ac:dyDescent="0.25">
      <c r="A39" s="6"/>
      <c r="B39" s="8" t="s">
        <v>120</v>
      </c>
      <c r="C39" s="37"/>
      <c r="D39" s="3"/>
      <c r="E39" s="3">
        <v>150</v>
      </c>
      <c r="F39" s="3"/>
      <c r="G39" s="13"/>
      <c r="H39" s="18">
        <v>150</v>
      </c>
      <c r="I39" s="18"/>
      <c r="K39" s="2" t="s">
        <v>125</v>
      </c>
      <c r="N39" s="45"/>
      <c r="O39" s="9"/>
    </row>
    <row r="40" spans="1:15" ht="50" x14ac:dyDescent="0.25">
      <c r="B40" s="8" t="s">
        <v>122</v>
      </c>
      <c r="C40" s="35">
        <v>161</v>
      </c>
      <c r="D40" s="3">
        <v>400</v>
      </c>
      <c r="E40" s="72">
        <v>171</v>
      </c>
      <c r="F40" s="3">
        <f>+D40-E40</f>
        <v>229</v>
      </c>
      <c r="G40" s="13"/>
      <c r="H40" s="18">
        <f>171+85</f>
        <v>256</v>
      </c>
      <c r="I40" s="18"/>
      <c r="J40" s="45">
        <v>200</v>
      </c>
      <c r="K40" s="8" t="s">
        <v>151</v>
      </c>
      <c r="L40" s="45">
        <f>171*1.075+(85*4)</f>
        <v>523.82500000000005</v>
      </c>
      <c r="N40" s="45">
        <f>+L40</f>
        <v>523.82500000000005</v>
      </c>
    </row>
    <row r="41" spans="1:15" ht="37.5" customHeight="1" x14ac:dyDescent="0.25">
      <c r="A41" s="6"/>
      <c r="B41" s="5" t="s">
        <v>14</v>
      </c>
      <c r="C41" s="35">
        <v>287</v>
      </c>
      <c r="D41" s="3">
        <v>400</v>
      </c>
      <c r="E41" s="3">
        <f>123+149+136</f>
        <v>408</v>
      </c>
      <c r="F41" s="3">
        <f>+D41-E41</f>
        <v>-8</v>
      </c>
      <c r="G41" s="13" t="s">
        <v>48</v>
      </c>
      <c r="H41" s="18">
        <v>700</v>
      </c>
      <c r="I41" s="18"/>
      <c r="J41" s="45">
        <v>755</v>
      </c>
      <c r="K41" s="9" t="s">
        <v>59</v>
      </c>
      <c r="L41" s="45">
        <v>755</v>
      </c>
      <c r="N41" s="45">
        <v>755</v>
      </c>
    </row>
    <row r="42" spans="1:15" ht="13" x14ac:dyDescent="0.25">
      <c r="A42" s="6"/>
      <c r="B42" s="5" t="s">
        <v>42</v>
      </c>
      <c r="D42" s="3"/>
      <c r="E42" s="3">
        <v>130</v>
      </c>
      <c r="F42" s="3">
        <f>+D42-E42</f>
        <v>-130</v>
      </c>
      <c r="G42" s="13"/>
      <c r="H42" s="18">
        <v>1000</v>
      </c>
      <c r="I42" s="18"/>
      <c r="J42" s="45">
        <v>1000</v>
      </c>
      <c r="K42" s="9"/>
      <c r="L42" s="45">
        <v>1000</v>
      </c>
      <c r="N42" s="45">
        <v>1000</v>
      </c>
    </row>
    <row r="43" spans="1:15" ht="38" thickBot="1" x14ac:dyDescent="0.3">
      <c r="B43" s="62" t="s">
        <v>38</v>
      </c>
      <c r="C43" s="35">
        <v>38</v>
      </c>
      <c r="D43" s="3">
        <v>1000</v>
      </c>
      <c r="E43" s="3"/>
      <c r="F43" s="3">
        <f>+D43-E43</f>
        <v>1000</v>
      </c>
      <c r="G43" s="13"/>
      <c r="H43" s="18">
        <v>1000</v>
      </c>
      <c r="I43" s="21" t="s">
        <v>152</v>
      </c>
      <c r="J43" s="45">
        <v>1000</v>
      </c>
      <c r="K43" s="9" t="s">
        <v>153</v>
      </c>
      <c r="L43" s="45">
        <v>1000</v>
      </c>
      <c r="N43" s="45">
        <v>1000</v>
      </c>
    </row>
    <row r="44" spans="1:15" ht="13.5" thickTop="1" x14ac:dyDescent="0.25">
      <c r="C44" s="38">
        <f>SUM(C37:C43)</f>
        <v>3469</v>
      </c>
      <c r="D44" s="32">
        <f>SUM(D37:D43)</f>
        <v>6800</v>
      </c>
      <c r="E44" s="32">
        <f>SUM(E37:E43)</f>
        <v>6636</v>
      </c>
      <c r="F44" s="32">
        <f>SUM(F37:F43)</f>
        <v>2022</v>
      </c>
      <c r="G44" s="33"/>
      <c r="H44" s="34">
        <f>SUM(H37:H43)</f>
        <v>21314</v>
      </c>
      <c r="I44" s="34"/>
      <c r="J44" s="50">
        <f>SUM(J37:J43)</f>
        <v>17955</v>
      </c>
      <c r="L44" s="50">
        <f>SUM(L37:L43)</f>
        <v>11478.825000000001</v>
      </c>
      <c r="N44" s="50">
        <f>SUM(N37:N43)</f>
        <v>14778.825000000001</v>
      </c>
    </row>
    <row r="45" spans="1:15" ht="13" x14ac:dyDescent="0.25">
      <c r="D45" s="3"/>
      <c r="E45" s="3"/>
      <c r="F45" s="3"/>
      <c r="G45" s="13"/>
      <c r="H45" s="18"/>
      <c r="I45" s="18"/>
      <c r="N45" s="45"/>
    </row>
    <row r="46" spans="1:15" ht="13" x14ac:dyDescent="0.25">
      <c r="D46" s="3"/>
      <c r="E46" s="3"/>
      <c r="F46" s="3"/>
      <c r="G46" s="13"/>
      <c r="H46" s="18"/>
      <c r="I46" s="18"/>
      <c r="N46" s="45"/>
    </row>
    <row r="47" spans="1:15" ht="13" x14ac:dyDescent="0.25">
      <c r="A47" s="6" t="s">
        <v>35</v>
      </c>
      <c r="B47" s="5" t="s">
        <v>20</v>
      </c>
      <c r="D47" s="3">
        <v>10</v>
      </c>
      <c r="E47" s="3"/>
      <c r="F47" s="3">
        <f t="shared" ref="F47:F57" si="6">+D47-E47</f>
        <v>10</v>
      </c>
      <c r="G47" s="13"/>
      <c r="H47" s="18">
        <f>+F47</f>
        <v>10</v>
      </c>
      <c r="I47" s="18"/>
      <c r="J47" s="45">
        <v>10</v>
      </c>
      <c r="L47" s="45">
        <v>10</v>
      </c>
      <c r="N47" s="45">
        <v>10</v>
      </c>
    </row>
    <row r="48" spans="1:15" ht="25" x14ac:dyDescent="0.25">
      <c r="B48" s="5" t="s">
        <v>21</v>
      </c>
      <c r="C48" s="37"/>
      <c r="D48" s="3">
        <v>500</v>
      </c>
      <c r="E48" s="3"/>
      <c r="F48" s="3">
        <f t="shared" si="6"/>
        <v>500</v>
      </c>
      <c r="G48" s="19"/>
      <c r="H48" s="18">
        <f>+F48</f>
        <v>500</v>
      </c>
      <c r="I48" s="18"/>
      <c r="K48" s="9" t="s">
        <v>61</v>
      </c>
      <c r="N48" s="45"/>
    </row>
    <row r="49" spans="1:15" ht="13" x14ac:dyDescent="0.25">
      <c r="B49" s="5" t="s">
        <v>22</v>
      </c>
      <c r="C49" s="35">
        <v>1435</v>
      </c>
      <c r="D49" s="3">
        <f>1000</f>
        <v>1000</v>
      </c>
      <c r="E49" s="3">
        <v>1197</v>
      </c>
      <c r="F49" s="3">
        <f t="shared" si="6"/>
        <v>-197</v>
      </c>
      <c r="G49" s="23"/>
      <c r="H49" s="18">
        <f>+E49</f>
        <v>1197</v>
      </c>
      <c r="I49" s="18"/>
      <c r="J49" s="45">
        <v>1200</v>
      </c>
      <c r="L49" s="45">
        <v>1200</v>
      </c>
      <c r="N49" s="45">
        <v>1200</v>
      </c>
    </row>
    <row r="50" spans="1:15" ht="13" x14ac:dyDescent="0.25">
      <c r="B50" s="5" t="s">
        <v>23</v>
      </c>
      <c r="C50" s="35">
        <v>48</v>
      </c>
      <c r="D50" s="3">
        <v>100</v>
      </c>
      <c r="E50" s="3"/>
      <c r="F50" s="3">
        <f t="shared" si="6"/>
        <v>100</v>
      </c>
      <c r="G50" s="13"/>
      <c r="H50" s="18">
        <v>50</v>
      </c>
      <c r="I50" s="18"/>
      <c r="J50" s="45">
        <v>100</v>
      </c>
      <c r="L50" s="45">
        <v>100</v>
      </c>
      <c r="N50" s="45">
        <v>100</v>
      </c>
    </row>
    <row r="51" spans="1:15" ht="25" x14ac:dyDescent="0.25">
      <c r="B51" s="5" t="s">
        <v>24</v>
      </c>
      <c r="C51" s="35">
        <v>57</v>
      </c>
      <c r="D51" s="3">
        <v>150</v>
      </c>
      <c r="E51" s="3">
        <v>230</v>
      </c>
      <c r="F51" s="3">
        <f t="shared" si="6"/>
        <v>-80</v>
      </c>
      <c r="G51" s="20"/>
      <c r="H51" s="18">
        <f>+E51*2</f>
        <v>460</v>
      </c>
      <c r="I51" s="18"/>
      <c r="J51" s="45">
        <v>450</v>
      </c>
      <c r="K51" s="8" t="s">
        <v>62</v>
      </c>
      <c r="L51" s="45">
        <v>450</v>
      </c>
      <c r="N51" s="45">
        <v>450</v>
      </c>
    </row>
    <row r="52" spans="1:15" ht="13" x14ac:dyDescent="0.25">
      <c r="B52" s="5" t="s">
        <v>25</v>
      </c>
      <c r="D52" s="3">
        <v>150</v>
      </c>
      <c r="E52" s="3"/>
      <c r="F52" s="3">
        <f t="shared" si="6"/>
        <v>150</v>
      </c>
      <c r="G52" s="13"/>
      <c r="H52" s="18">
        <v>50</v>
      </c>
      <c r="I52" s="18"/>
      <c r="J52" s="45">
        <v>50</v>
      </c>
      <c r="L52" s="45">
        <v>50</v>
      </c>
      <c r="N52" s="45">
        <v>50</v>
      </c>
    </row>
    <row r="53" spans="1:15" ht="50" x14ac:dyDescent="0.25">
      <c r="B53" s="5" t="s">
        <v>79</v>
      </c>
      <c r="C53" s="35">
        <v>1482</v>
      </c>
      <c r="D53" s="3">
        <v>1750</v>
      </c>
      <c r="E53" s="3">
        <v>1484</v>
      </c>
      <c r="F53" s="3">
        <f t="shared" si="6"/>
        <v>266</v>
      </c>
      <c r="G53" s="19"/>
      <c r="H53" s="18">
        <f>+E53+960+2000</f>
        <v>4444</v>
      </c>
      <c r="I53" s="21" t="s">
        <v>156</v>
      </c>
      <c r="J53" s="45">
        <v>5000</v>
      </c>
      <c r="K53" s="8"/>
      <c r="L53" s="45">
        <v>3000</v>
      </c>
      <c r="N53" s="45">
        <v>4000</v>
      </c>
      <c r="O53" s="9" t="s">
        <v>99</v>
      </c>
    </row>
    <row r="54" spans="1:15" ht="13" x14ac:dyDescent="0.25">
      <c r="B54" s="5" t="s">
        <v>26</v>
      </c>
      <c r="D54" s="3">
        <v>1000</v>
      </c>
      <c r="E54" s="3"/>
      <c r="F54" s="3">
        <f t="shared" si="6"/>
        <v>1000</v>
      </c>
      <c r="G54" s="13"/>
      <c r="H54" s="18">
        <f>+F54</f>
        <v>1000</v>
      </c>
      <c r="I54" s="18"/>
      <c r="J54" s="45">
        <v>1000</v>
      </c>
      <c r="L54" s="45">
        <v>500</v>
      </c>
      <c r="N54" s="45">
        <v>500</v>
      </c>
      <c r="O54" s="9" t="s">
        <v>98</v>
      </c>
    </row>
    <row r="55" spans="1:15" ht="13" x14ac:dyDescent="0.25">
      <c r="B55" s="5" t="s">
        <v>27</v>
      </c>
      <c r="C55" s="35">
        <f>1485+17311</f>
        <v>18796</v>
      </c>
      <c r="D55" s="3">
        <v>1500</v>
      </c>
      <c r="E55" s="3">
        <v>350</v>
      </c>
      <c r="F55" s="3">
        <f t="shared" si="6"/>
        <v>1150</v>
      </c>
      <c r="G55" s="20" t="s">
        <v>47</v>
      </c>
      <c r="H55" s="18">
        <v>350</v>
      </c>
      <c r="I55" s="18"/>
      <c r="J55" s="45">
        <v>750</v>
      </c>
      <c r="K55" s="5" t="s">
        <v>123</v>
      </c>
      <c r="L55" s="45">
        <v>0</v>
      </c>
      <c r="N55" s="45">
        <v>0</v>
      </c>
    </row>
    <row r="56" spans="1:15" ht="13" x14ac:dyDescent="0.25">
      <c r="B56" s="5" t="s">
        <v>28</v>
      </c>
      <c r="D56" s="3"/>
      <c r="E56" s="3"/>
      <c r="F56" s="3">
        <f t="shared" si="6"/>
        <v>0</v>
      </c>
      <c r="G56" s="13"/>
      <c r="H56" s="18">
        <f>+F56</f>
        <v>0</v>
      </c>
      <c r="I56" s="18"/>
      <c r="K56" s="9" t="s">
        <v>63</v>
      </c>
      <c r="N56" s="45"/>
    </row>
    <row r="57" spans="1:15" ht="38" thickBot="1" x14ac:dyDescent="0.3">
      <c r="B57" s="5" t="s">
        <v>80</v>
      </c>
      <c r="C57" s="35">
        <v>700</v>
      </c>
      <c r="D57" s="3"/>
      <c r="E57" s="3"/>
      <c r="F57" s="3">
        <f t="shared" si="6"/>
        <v>0</v>
      </c>
      <c r="G57" s="24" t="s">
        <v>46</v>
      </c>
      <c r="H57" s="18">
        <v>1000</v>
      </c>
      <c r="I57" s="21" t="s">
        <v>160</v>
      </c>
      <c r="K57" s="8" t="s">
        <v>81</v>
      </c>
      <c r="N57" s="45"/>
    </row>
    <row r="58" spans="1:15" ht="13.5" thickTop="1" x14ac:dyDescent="0.25">
      <c r="C58" s="38">
        <f>SUM(C47:C57)</f>
        <v>22518</v>
      </c>
      <c r="D58" s="32">
        <f>SUM(D47:D57)</f>
        <v>6160</v>
      </c>
      <c r="E58" s="32">
        <f>SUM(E47:E57)</f>
        <v>3261</v>
      </c>
      <c r="F58" s="32">
        <f>SUM(F47:F57)</f>
        <v>2899</v>
      </c>
      <c r="G58" s="33"/>
      <c r="H58" s="34">
        <f>SUM(H47:H57)</f>
        <v>9061</v>
      </c>
      <c r="I58" s="18"/>
      <c r="J58" s="49">
        <f>SUM(J47:J57)</f>
        <v>8560</v>
      </c>
      <c r="L58" s="49">
        <f>SUM(L47:L57)</f>
        <v>5310</v>
      </c>
      <c r="N58" s="49">
        <f>SUM(N47:N57)</f>
        <v>6310</v>
      </c>
    </row>
    <row r="59" spans="1:15" ht="13" x14ac:dyDescent="0.25">
      <c r="D59" s="3"/>
      <c r="E59" s="3"/>
      <c r="F59" s="3"/>
      <c r="G59" s="13"/>
      <c r="H59" s="18"/>
      <c r="I59" s="18"/>
      <c r="N59" s="45"/>
    </row>
    <row r="60" spans="1:15" ht="25" x14ac:dyDescent="0.25">
      <c r="A60" s="6" t="s">
        <v>36</v>
      </c>
      <c r="B60" s="5" t="s">
        <v>29</v>
      </c>
      <c r="C60" s="35">
        <v>5330</v>
      </c>
      <c r="D60" s="3">
        <v>7250</v>
      </c>
      <c r="E60" s="3">
        <v>5014</v>
      </c>
      <c r="F60" s="3">
        <f>+D60-E60</f>
        <v>2236</v>
      </c>
      <c r="G60" s="19"/>
      <c r="H60" s="18">
        <v>7500</v>
      </c>
      <c r="I60" s="18"/>
      <c r="J60" s="45">
        <v>8100</v>
      </c>
      <c r="K60" s="8" t="s">
        <v>74</v>
      </c>
      <c r="L60" s="45">
        <v>8100</v>
      </c>
      <c r="N60" s="45">
        <v>8100</v>
      </c>
    </row>
    <row r="61" spans="1:15" ht="13" x14ac:dyDescent="0.25">
      <c r="B61" s="5" t="s">
        <v>30</v>
      </c>
      <c r="C61" s="35">
        <v>675</v>
      </c>
      <c r="D61" s="3">
        <v>800</v>
      </c>
      <c r="E61" s="3">
        <v>540</v>
      </c>
      <c r="F61" s="3">
        <f>+D61-E61</f>
        <v>260</v>
      </c>
      <c r="G61" s="13"/>
      <c r="H61" s="18">
        <v>1150</v>
      </c>
      <c r="I61" s="18"/>
      <c r="J61" s="45">
        <f>30*52</f>
        <v>1560</v>
      </c>
      <c r="K61" s="9" t="s">
        <v>64</v>
      </c>
      <c r="L61" s="45">
        <f>30*52</f>
        <v>1560</v>
      </c>
      <c r="N61" s="45">
        <f>30*52</f>
        <v>1560</v>
      </c>
    </row>
    <row r="62" spans="1:15" ht="13" x14ac:dyDescent="0.25">
      <c r="B62" s="5" t="s">
        <v>31</v>
      </c>
      <c r="C62" s="35">
        <v>50</v>
      </c>
      <c r="D62" s="3">
        <v>1500</v>
      </c>
      <c r="E62" s="3">
        <v>250</v>
      </c>
      <c r="F62" s="3">
        <f>+D62-E62</f>
        <v>1250</v>
      </c>
      <c r="G62" s="13"/>
      <c r="H62" s="18">
        <v>1500</v>
      </c>
      <c r="I62" s="18"/>
      <c r="J62" s="45">
        <v>1500</v>
      </c>
      <c r="L62" s="45">
        <v>1000</v>
      </c>
      <c r="N62" s="45">
        <v>1000</v>
      </c>
      <c r="O62" s="9" t="s">
        <v>97</v>
      </c>
    </row>
    <row r="63" spans="1:15" ht="25" x14ac:dyDescent="0.25">
      <c r="B63" s="5" t="s">
        <v>32</v>
      </c>
      <c r="D63" s="3"/>
      <c r="E63" s="3">
        <f>2375+955</f>
        <v>3330</v>
      </c>
      <c r="F63" s="3">
        <f>+D63-E63</f>
        <v>-3330</v>
      </c>
      <c r="G63" s="20"/>
      <c r="H63" s="18">
        <v>3330</v>
      </c>
      <c r="I63" s="18"/>
      <c r="K63" s="2" t="s">
        <v>73</v>
      </c>
      <c r="N63" s="45"/>
    </row>
    <row r="64" spans="1:15" ht="13.5" thickBot="1" x14ac:dyDescent="0.3">
      <c r="B64" s="5" t="s">
        <v>33</v>
      </c>
      <c r="D64" s="3">
        <v>10</v>
      </c>
      <c r="E64" s="3"/>
      <c r="F64" s="3">
        <f>+D64-E64</f>
        <v>10</v>
      </c>
      <c r="G64" s="13"/>
      <c r="H64" s="18">
        <f>+F64</f>
        <v>10</v>
      </c>
      <c r="I64" s="18"/>
      <c r="J64" s="45">
        <v>10</v>
      </c>
      <c r="L64" s="45">
        <v>10</v>
      </c>
      <c r="N64" s="45">
        <v>10</v>
      </c>
    </row>
    <row r="65" spans="2:14" ht="13.5" thickTop="1" x14ac:dyDescent="0.25">
      <c r="C65" s="38">
        <f>SUM(C60:C64)</f>
        <v>6055</v>
      </c>
      <c r="D65" s="32">
        <f>SUM(D60:D64)</f>
        <v>9560</v>
      </c>
      <c r="E65" s="32">
        <f>SUM(E60:E64)</f>
        <v>9134</v>
      </c>
      <c r="F65" s="32">
        <f t="shared" ref="F65:H65" si="7">SUM(F60:F64)</f>
        <v>426</v>
      </c>
      <c r="G65" s="33"/>
      <c r="H65" s="34">
        <f t="shared" si="7"/>
        <v>13490</v>
      </c>
      <c r="I65" s="18"/>
      <c r="J65" s="49">
        <f>SUM(J60:J64)</f>
        <v>11170</v>
      </c>
      <c r="L65" s="49">
        <f>SUM(L60:L64)</f>
        <v>10670</v>
      </c>
      <c r="N65" s="49">
        <f>SUM(N60:N64)</f>
        <v>10670</v>
      </c>
    </row>
    <row r="66" spans="2:14" ht="13" x14ac:dyDescent="0.25">
      <c r="C66" s="40"/>
      <c r="D66" s="3"/>
      <c r="E66" s="3"/>
      <c r="F66" s="3"/>
      <c r="G66" s="13"/>
      <c r="H66" s="18"/>
      <c r="I66" s="18"/>
      <c r="N66" s="45"/>
    </row>
    <row r="67" spans="2:14" ht="25" x14ac:dyDescent="0.25">
      <c r="B67" s="12" t="s">
        <v>68</v>
      </c>
      <c r="C67" s="40">
        <f>+C65+C58+C44+C34</f>
        <v>61480</v>
      </c>
      <c r="D67" s="3">
        <f>+D65+D58+D44+D34</f>
        <v>58509.86</v>
      </c>
      <c r="E67" s="3">
        <f>+E65+E58+E44+E34</f>
        <v>41320</v>
      </c>
      <c r="F67" s="3"/>
      <c r="G67" s="25" t="s">
        <v>43</v>
      </c>
      <c r="H67" s="18">
        <f>+H65+H58+H44+H34</f>
        <v>77872.959999999992</v>
      </c>
      <c r="I67" s="18"/>
      <c r="J67" s="51">
        <f>+J65+J58+J44+J34</f>
        <v>73993.633000000002</v>
      </c>
      <c r="K67" s="9" t="s">
        <v>65</v>
      </c>
      <c r="L67" s="51">
        <f>+L65+L58+L44+L34</f>
        <v>63787.457999999999</v>
      </c>
      <c r="N67" s="51">
        <f>+N65+N58+N44+N34</f>
        <v>68087.457999999999</v>
      </c>
    </row>
    <row r="68" spans="2:14" ht="25" customHeight="1" x14ac:dyDescent="0.25">
      <c r="B68" s="10" t="s">
        <v>70</v>
      </c>
      <c r="C68" s="41">
        <v>-17311</v>
      </c>
      <c r="E68" s="42">
        <f>-(3330+150)</f>
        <v>-3480</v>
      </c>
      <c r="F68" s="26"/>
      <c r="G68" s="27" t="s">
        <v>44</v>
      </c>
      <c r="H68" s="44">
        <f>-H63-150-1500-8000-960-2000-500</f>
        <v>-16440</v>
      </c>
      <c r="I68" s="18"/>
      <c r="N68" s="45"/>
    </row>
    <row r="69" spans="2:14" ht="35" customHeight="1" x14ac:dyDescent="0.25">
      <c r="B69" s="8" t="s">
        <v>69</v>
      </c>
      <c r="C69" s="35">
        <f>+C67+C68</f>
        <v>44169</v>
      </c>
      <c r="D69" s="43">
        <f t="shared" ref="D69:J69" si="8">+D67+D68</f>
        <v>58509.86</v>
      </c>
      <c r="E69" s="43">
        <f t="shared" si="8"/>
        <v>37840</v>
      </c>
      <c r="F69" s="43">
        <f t="shared" si="8"/>
        <v>0</v>
      </c>
      <c r="G69" s="43" t="e">
        <f t="shared" si="8"/>
        <v>#VALUE!</v>
      </c>
      <c r="H69" s="43">
        <f t="shared" si="8"/>
        <v>61432.959999999992</v>
      </c>
      <c r="I69" s="35"/>
      <c r="J69" s="52">
        <f t="shared" si="8"/>
        <v>73993.633000000002</v>
      </c>
      <c r="L69" s="52">
        <f t="shared" ref="L69" si="9">+L67+L68</f>
        <v>63787.457999999999</v>
      </c>
      <c r="N69" s="52">
        <f>+N67+N68</f>
        <v>68087.457999999999</v>
      </c>
    </row>
    <row r="70" spans="2:14" ht="12.75" customHeight="1" x14ac:dyDescent="0.25">
      <c r="B70" s="8"/>
      <c r="D70" s="3"/>
      <c r="E70" s="3"/>
      <c r="F70" s="3"/>
      <c r="G70" s="28" t="s">
        <v>49</v>
      </c>
      <c r="H70" s="18"/>
      <c r="I70" s="18"/>
    </row>
    <row r="71" spans="2:14" ht="12.75" customHeight="1" x14ac:dyDescent="0.25">
      <c r="B71" s="8"/>
      <c r="H71" s="9"/>
      <c r="I71" s="9"/>
    </row>
    <row r="72" spans="2:14" ht="12.75" customHeight="1" x14ac:dyDescent="0.25">
      <c r="B72" s="8"/>
    </row>
    <row r="73" spans="2:14" ht="12.75" customHeight="1" x14ac:dyDescent="0.25">
      <c r="B73" s="8"/>
      <c r="J73" s="51"/>
      <c r="K73" s="9"/>
      <c r="L73" s="51"/>
    </row>
    <row r="74" spans="2:14" ht="12.75" customHeight="1" x14ac:dyDescent="0.25">
      <c r="B74" s="8"/>
      <c r="J74" s="51"/>
      <c r="L74" s="51"/>
    </row>
    <row r="76" spans="2:14" ht="12.75" customHeight="1" x14ac:dyDescent="0.25">
      <c r="B76" s="8"/>
    </row>
  </sheetData>
  <mergeCells count="1">
    <mergeCell ref="D3:H3"/>
  </mergeCells>
  <pageMargins left="0" right="0" top="0" bottom="0" header="0" footer="0"/>
  <pageSetup paperSize="9" scale="91" fitToHeight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AD4FD-2CBD-4F6B-A5CD-9A118211AC23}">
  <dimension ref="A1:O34"/>
  <sheetViews>
    <sheetView workbookViewId="0">
      <selection activeCell="G3" sqref="G3"/>
    </sheetView>
  </sheetViews>
  <sheetFormatPr defaultRowHeight="12.5" x14ac:dyDescent="0.25"/>
  <cols>
    <col min="1" max="1" width="33.7265625" style="83" customWidth="1"/>
    <col min="2" max="3" width="11.1796875" style="83" bestFit="1" customWidth="1"/>
    <col min="4" max="4" width="8.7265625" style="83"/>
    <col min="5" max="5" width="12.1796875" style="83" bestFit="1" customWidth="1"/>
    <col min="6" max="9" width="8.7265625" style="83"/>
    <col min="10" max="10" width="33.7265625" style="83" customWidth="1"/>
    <col min="11" max="16384" width="8.7265625" style="83"/>
  </cols>
  <sheetData>
    <row r="1" spans="1:15" ht="14.5" x14ac:dyDescent="0.35">
      <c r="A1" s="82" t="s">
        <v>150</v>
      </c>
      <c r="B1" s="73"/>
      <c r="C1" s="73"/>
      <c r="D1" s="73"/>
      <c r="E1" s="73"/>
      <c r="F1" s="73"/>
      <c r="J1" s="82"/>
      <c r="K1" s="73"/>
      <c r="L1" s="73"/>
      <c r="M1" s="73"/>
      <c r="N1" s="73"/>
      <c r="O1" s="73"/>
    </row>
    <row r="2" spans="1:15" ht="14.5" x14ac:dyDescent="0.35">
      <c r="A2" s="73"/>
      <c r="B2" s="84" t="s">
        <v>127</v>
      </c>
      <c r="C2" s="84" t="s">
        <v>128</v>
      </c>
      <c r="D2" s="73"/>
      <c r="E2" s="73"/>
      <c r="F2" s="73"/>
      <c r="I2" s="85"/>
      <c r="J2" s="86"/>
      <c r="K2" s="84"/>
      <c r="L2" s="84"/>
      <c r="M2" s="73"/>
      <c r="N2" s="73"/>
      <c r="O2" s="73"/>
    </row>
    <row r="3" spans="1:15" x14ac:dyDescent="0.25">
      <c r="A3" s="73"/>
      <c r="B3" s="73"/>
      <c r="C3" s="73"/>
      <c r="D3" s="73"/>
      <c r="E3" s="73"/>
      <c r="F3" s="73"/>
      <c r="I3" s="85"/>
      <c r="J3" s="86"/>
      <c r="K3" s="73"/>
      <c r="L3" s="73"/>
      <c r="M3" s="73"/>
      <c r="N3" s="73"/>
      <c r="O3" s="73"/>
    </row>
    <row r="4" spans="1:15" x14ac:dyDescent="0.25">
      <c r="A4" s="73" t="s">
        <v>129</v>
      </c>
      <c r="B4" s="73">
        <v>66583</v>
      </c>
      <c r="C4" s="73"/>
      <c r="D4" s="73"/>
      <c r="E4" s="73"/>
      <c r="F4" s="73"/>
      <c r="I4" s="85"/>
      <c r="J4" s="86"/>
      <c r="K4" s="73"/>
      <c r="L4" s="73"/>
      <c r="M4" s="73"/>
      <c r="N4" s="73"/>
      <c r="O4" s="73"/>
    </row>
    <row r="5" spans="1:15" x14ac:dyDescent="0.25">
      <c r="A5" s="73"/>
      <c r="B5" s="73"/>
      <c r="C5" s="73"/>
      <c r="D5" s="73"/>
      <c r="E5" s="73"/>
      <c r="F5" s="73"/>
      <c r="I5" s="85"/>
      <c r="J5" s="86"/>
      <c r="K5" s="73"/>
      <c r="L5" s="73"/>
      <c r="M5" s="73"/>
      <c r="N5" s="73"/>
      <c r="O5" s="73"/>
    </row>
    <row r="6" spans="1:15" x14ac:dyDescent="0.25">
      <c r="A6" s="73" t="s">
        <v>130</v>
      </c>
      <c r="B6" s="73">
        <f>93627-C6</f>
        <v>66797.540000000008</v>
      </c>
      <c r="C6" s="73">
        <f>+'budget 2425'!E12</f>
        <v>26829.46</v>
      </c>
      <c r="D6" s="73"/>
      <c r="E6" s="73"/>
      <c r="F6" s="73"/>
      <c r="I6" s="85"/>
      <c r="J6" s="86"/>
      <c r="K6" s="73"/>
      <c r="L6" s="73"/>
      <c r="M6" s="73"/>
      <c r="N6" s="73"/>
      <c r="O6" s="73"/>
    </row>
    <row r="7" spans="1:15" x14ac:dyDescent="0.25">
      <c r="A7" s="73" t="s">
        <v>131</v>
      </c>
      <c r="B7" s="73">
        <f>-(44434-420)</f>
        <v>-44014</v>
      </c>
      <c r="C7" s="73">
        <v>-420</v>
      </c>
      <c r="D7" s="73" t="s">
        <v>132</v>
      </c>
      <c r="E7" s="73"/>
      <c r="F7" s="73"/>
      <c r="I7" s="85"/>
      <c r="J7" s="86"/>
      <c r="K7" s="73"/>
      <c r="L7" s="73"/>
      <c r="M7" s="73"/>
      <c r="N7" s="73"/>
      <c r="O7" s="73"/>
    </row>
    <row r="8" spans="1:15" x14ac:dyDescent="0.25">
      <c r="A8" s="73"/>
      <c r="B8" s="73"/>
      <c r="C8" s="73"/>
      <c r="D8" s="73"/>
      <c r="E8" s="73"/>
      <c r="F8" s="73"/>
      <c r="I8" s="85"/>
      <c r="J8" s="86"/>
      <c r="K8" s="73"/>
      <c r="L8" s="73"/>
      <c r="M8" s="73"/>
      <c r="N8" s="73"/>
      <c r="O8" s="73"/>
    </row>
    <row r="9" spans="1:15" ht="13" x14ac:dyDescent="0.3">
      <c r="A9" s="89" t="s">
        <v>133</v>
      </c>
      <c r="B9" s="90">
        <f>+B4+B6+B7</f>
        <v>89366.540000000008</v>
      </c>
      <c r="C9" s="90">
        <f>+C4+C6+C7</f>
        <v>26409.46</v>
      </c>
      <c r="D9" s="90"/>
      <c r="E9" s="90">
        <f>+C9+B9</f>
        <v>115776</v>
      </c>
      <c r="F9" s="89" t="s">
        <v>134</v>
      </c>
      <c r="I9" s="85"/>
      <c r="J9" s="86"/>
      <c r="K9" s="74"/>
      <c r="L9" s="74"/>
      <c r="M9" s="74"/>
      <c r="N9" s="74"/>
      <c r="O9" s="73"/>
    </row>
    <row r="10" spans="1:15" x14ac:dyDescent="0.25">
      <c r="A10" s="73"/>
      <c r="B10" s="74"/>
      <c r="C10" s="74"/>
      <c r="D10" s="74"/>
      <c r="E10" s="74"/>
      <c r="F10" s="73"/>
      <c r="J10" s="73"/>
      <c r="K10" s="74"/>
      <c r="L10" s="74"/>
      <c r="M10" s="74"/>
      <c r="N10" s="74"/>
      <c r="O10" s="73"/>
    </row>
    <row r="11" spans="1:15" ht="37.5" x14ac:dyDescent="0.25">
      <c r="A11" s="87" t="s">
        <v>162</v>
      </c>
      <c r="B11" s="74">
        <f>-'budget 2425'!H69+'budget 2425'!E69</f>
        <v>-23592.959999999992</v>
      </c>
      <c r="C11" s="74"/>
      <c r="D11" s="74"/>
      <c r="E11" s="74"/>
      <c r="F11" s="73"/>
      <c r="J11" s="87"/>
      <c r="K11" s="74"/>
      <c r="L11" s="74"/>
      <c r="M11" s="74"/>
      <c r="N11" s="74"/>
      <c r="O11" s="73"/>
    </row>
    <row r="12" spans="1:15" ht="25" x14ac:dyDescent="0.25">
      <c r="A12" s="87" t="s">
        <v>163</v>
      </c>
      <c r="B12" s="74">
        <f>'budget 2425'!H68-'budget 2425'!E68</f>
        <v>-12960</v>
      </c>
      <c r="C12" s="74"/>
      <c r="D12" s="74"/>
      <c r="E12" s="74"/>
      <c r="F12" s="73"/>
      <c r="J12" s="87"/>
      <c r="K12" s="74"/>
      <c r="L12" s="74"/>
      <c r="M12" s="74"/>
      <c r="N12" s="74"/>
      <c r="O12" s="73"/>
    </row>
    <row r="13" spans="1:15" x14ac:dyDescent="0.25">
      <c r="A13" s="87" t="s">
        <v>161</v>
      </c>
      <c r="B13" s="74">
        <f>'budget 2425'!H13-'budget 2425'!E13-C13</f>
        <v>2128</v>
      </c>
      <c r="C13" s="74">
        <f>+'budget 2425'!H12-'budget 2425'!E12</f>
        <v>24290</v>
      </c>
      <c r="D13" s="74"/>
      <c r="E13" s="74"/>
      <c r="F13" s="73"/>
      <c r="J13" s="87"/>
      <c r="K13" s="74"/>
      <c r="L13" s="74"/>
      <c r="M13" s="74"/>
      <c r="N13" s="74"/>
      <c r="O13" s="73"/>
    </row>
    <row r="14" spans="1:15" x14ac:dyDescent="0.25">
      <c r="A14" s="73"/>
      <c r="B14" s="74"/>
      <c r="C14" s="74"/>
      <c r="D14" s="74"/>
      <c r="E14" s="74"/>
      <c r="F14" s="73"/>
      <c r="J14" s="73"/>
      <c r="K14" s="74"/>
      <c r="L14" s="74"/>
      <c r="M14" s="74"/>
      <c r="N14" s="74"/>
      <c r="O14" s="73"/>
    </row>
    <row r="15" spans="1:15" ht="13" x14ac:dyDescent="0.3">
      <c r="A15" s="89" t="s">
        <v>149</v>
      </c>
      <c r="B15" s="90">
        <f>+B9+B11+B12+B13</f>
        <v>54941.580000000016</v>
      </c>
      <c r="C15" s="90">
        <f>+C9+C11+C12+C13</f>
        <v>50699.46</v>
      </c>
      <c r="D15" s="90"/>
      <c r="E15" s="90">
        <f>+C15+B15</f>
        <v>105641.04000000001</v>
      </c>
      <c r="F15" s="73"/>
      <c r="J15" s="73"/>
      <c r="K15" s="74"/>
      <c r="L15" s="74"/>
      <c r="M15" s="74"/>
      <c r="N15" s="74"/>
      <c r="O15" s="73"/>
    </row>
    <row r="16" spans="1:15" x14ac:dyDescent="0.25">
      <c r="A16" s="73"/>
      <c r="B16" s="73"/>
      <c r="C16" s="73"/>
      <c r="D16" s="73"/>
      <c r="E16" s="73"/>
      <c r="F16" s="73"/>
      <c r="J16" s="73"/>
      <c r="K16" s="73"/>
      <c r="L16" s="73"/>
      <c r="M16" s="73"/>
      <c r="N16" s="73"/>
      <c r="O16" s="73"/>
    </row>
    <row r="17" spans="1:15" ht="14.5" x14ac:dyDescent="0.35">
      <c r="A17" s="88" t="s">
        <v>135</v>
      </c>
      <c r="B17" s="73"/>
      <c r="C17" s="73"/>
      <c r="D17" s="73"/>
      <c r="E17" s="73"/>
      <c r="F17" s="73"/>
      <c r="J17" s="88"/>
      <c r="K17" s="73"/>
      <c r="L17" s="73"/>
      <c r="M17" s="73"/>
      <c r="N17" s="73"/>
      <c r="O17" s="73"/>
    </row>
    <row r="18" spans="1:15" x14ac:dyDescent="0.25">
      <c r="A18" s="73" t="s">
        <v>136</v>
      </c>
      <c r="B18" s="73">
        <f>58500*0.5</f>
        <v>29250</v>
      </c>
      <c r="C18" s="73"/>
      <c r="D18" s="73"/>
      <c r="E18" s="73"/>
      <c r="F18" s="73"/>
      <c r="J18" s="73"/>
      <c r="K18" s="73"/>
      <c r="L18" s="73"/>
      <c r="M18" s="73"/>
      <c r="N18" s="73"/>
      <c r="O18" s="73"/>
    </row>
    <row r="19" spans="1:15" x14ac:dyDescent="0.25">
      <c r="A19" s="87"/>
      <c r="B19" s="73"/>
      <c r="C19" s="73"/>
      <c r="D19" s="73"/>
      <c r="E19" s="73"/>
      <c r="F19" s="73"/>
      <c r="J19" s="87"/>
      <c r="K19" s="73"/>
      <c r="L19" s="73"/>
      <c r="M19" s="73"/>
      <c r="N19" s="73"/>
      <c r="O19" s="73"/>
    </row>
    <row r="20" spans="1:15" x14ac:dyDescent="0.25">
      <c r="A20" s="73" t="s">
        <v>137</v>
      </c>
      <c r="B20" s="73"/>
      <c r="C20" s="73">
        <f>3800-420</f>
        <v>3380</v>
      </c>
      <c r="D20" s="73" t="s">
        <v>138</v>
      </c>
      <c r="E20" s="73"/>
      <c r="F20" s="73"/>
      <c r="J20" s="73"/>
      <c r="K20" s="73"/>
      <c r="L20" s="73"/>
      <c r="M20" s="73"/>
      <c r="N20" s="73"/>
      <c r="O20" s="73"/>
    </row>
    <row r="21" spans="1:15" x14ac:dyDescent="0.25">
      <c r="A21" s="73" t="s">
        <v>139</v>
      </c>
      <c r="B21" s="73">
        <v>4000</v>
      </c>
      <c r="C21" s="73"/>
      <c r="D21" s="73"/>
      <c r="E21" s="73"/>
      <c r="F21" s="73"/>
      <c r="J21" s="73"/>
      <c r="K21" s="73"/>
      <c r="L21" s="73"/>
      <c r="M21" s="73"/>
      <c r="N21" s="73"/>
      <c r="O21" s="73"/>
    </row>
    <row r="22" spans="1:15" x14ac:dyDescent="0.25">
      <c r="A22" s="73" t="s">
        <v>140</v>
      </c>
      <c r="B22" s="73">
        <v>2500</v>
      </c>
      <c r="C22" s="73"/>
      <c r="D22" s="73"/>
      <c r="E22" s="73"/>
      <c r="F22" s="73"/>
      <c r="I22" s="2"/>
      <c r="J22" s="73"/>
      <c r="K22" s="73"/>
      <c r="L22" s="73"/>
      <c r="M22" s="73"/>
      <c r="N22" s="73"/>
      <c r="O22" s="73"/>
    </row>
    <row r="23" spans="1:15" x14ac:dyDescent="0.25">
      <c r="A23" s="73" t="s">
        <v>141</v>
      </c>
      <c r="B23" s="73">
        <v>2000</v>
      </c>
      <c r="C23" s="73"/>
      <c r="D23" s="73"/>
      <c r="E23" s="73"/>
      <c r="F23" s="73"/>
      <c r="J23" s="73"/>
      <c r="K23" s="73"/>
      <c r="L23" s="73"/>
      <c r="M23" s="73"/>
      <c r="N23" s="73"/>
      <c r="O23" s="73"/>
    </row>
    <row r="24" spans="1:15" x14ac:dyDescent="0.25">
      <c r="A24" s="73" t="s">
        <v>142</v>
      </c>
      <c r="B24" s="73">
        <v>1500</v>
      </c>
      <c r="C24" s="73"/>
      <c r="D24" s="73"/>
      <c r="E24" s="73"/>
      <c r="F24" s="73"/>
      <c r="J24" s="73"/>
      <c r="K24" s="73"/>
      <c r="L24" s="73"/>
      <c r="M24" s="73"/>
      <c r="N24" s="73"/>
      <c r="O24" s="73"/>
    </row>
    <row r="25" spans="1:15" x14ac:dyDescent="0.25">
      <c r="A25" s="73" t="s">
        <v>154</v>
      </c>
      <c r="B25" s="73"/>
      <c r="D25" s="73" t="s">
        <v>155</v>
      </c>
      <c r="E25" s="73"/>
      <c r="F25" s="73"/>
      <c r="J25" s="73"/>
      <c r="K25" s="73"/>
      <c r="L25" s="73"/>
      <c r="M25" s="73"/>
      <c r="N25" s="73"/>
      <c r="O25" s="73"/>
    </row>
    <row r="26" spans="1:15" x14ac:dyDescent="0.25">
      <c r="A26" s="73" t="s">
        <v>143</v>
      </c>
      <c r="B26" s="73"/>
      <c r="C26" s="73">
        <v>4000</v>
      </c>
      <c r="D26" s="73" t="s">
        <v>144</v>
      </c>
      <c r="E26" s="73"/>
      <c r="F26" s="73"/>
      <c r="J26" s="73"/>
      <c r="K26" s="73"/>
      <c r="L26" s="73"/>
      <c r="M26" s="73"/>
      <c r="N26" s="73"/>
      <c r="O26" s="73"/>
    </row>
    <row r="27" spans="1:15" x14ac:dyDescent="0.25">
      <c r="A27" s="73" t="s">
        <v>145</v>
      </c>
      <c r="B27" s="73"/>
      <c r="C27" s="73">
        <v>2500</v>
      </c>
      <c r="D27" s="73"/>
      <c r="E27" s="73"/>
      <c r="F27" s="73"/>
      <c r="J27" s="73"/>
      <c r="K27" s="73"/>
      <c r="L27" s="73"/>
      <c r="M27" s="73"/>
      <c r="N27" s="73"/>
      <c r="O27" s="73"/>
    </row>
    <row r="28" spans="1:15" x14ac:dyDescent="0.25">
      <c r="A28" s="73" t="s">
        <v>146</v>
      </c>
      <c r="B28" s="73"/>
      <c r="C28" s="73">
        <f>+C15-C20-C26-C27</f>
        <v>40819.46</v>
      </c>
      <c r="D28" s="73" t="s">
        <v>164</v>
      </c>
      <c r="E28" s="73"/>
      <c r="F28" s="73"/>
      <c r="J28" s="73"/>
      <c r="K28" s="73"/>
      <c r="L28" s="73"/>
      <c r="M28" s="73"/>
      <c r="N28" s="73"/>
      <c r="O28" s="73"/>
    </row>
    <row r="29" spans="1:15" ht="25" x14ac:dyDescent="0.25">
      <c r="A29" s="87" t="s">
        <v>147</v>
      </c>
      <c r="B29" s="73">
        <f>+B15-SUM(B18:B27)</f>
        <v>15691.580000000016</v>
      </c>
      <c r="C29" s="73"/>
      <c r="D29" s="73" t="s">
        <v>148</v>
      </c>
      <c r="E29" s="73"/>
      <c r="F29" s="73"/>
      <c r="J29" s="87"/>
      <c r="K29" s="73"/>
      <c r="L29" s="73"/>
      <c r="M29" s="73"/>
      <c r="N29" s="73"/>
      <c r="O29" s="73"/>
    </row>
    <row r="30" spans="1:15" x14ac:dyDescent="0.25">
      <c r="A30" s="73"/>
      <c r="B30" s="73"/>
      <c r="C30" s="73"/>
      <c r="D30" s="73"/>
      <c r="E30" s="73"/>
      <c r="F30" s="73"/>
      <c r="J30" s="73"/>
      <c r="K30" s="73"/>
      <c r="L30" s="73"/>
      <c r="M30" s="73"/>
      <c r="N30" s="73"/>
      <c r="O30" s="73"/>
    </row>
    <row r="31" spans="1:15" ht="13" x14ac:dyDescent="0.3">
      <c r="A31" s="89" t="s">
        <v>165</v>
      </c>
      <c r="B31" s="89">
        <f>SUM(B18:B30)</f>
        <v>54941.580000000016</v>
      </c>
      <c r="C31" s="89">
        <f>SUM(C18:C30)</f>
        <v>50699.46</v>
      </c>
      <c r="D31" s="73"/>
      <c r="E31" s="73"/>
      <c r="F31" s="73"/>
      <c r="J31" s="73"/>
      <c r="K31" s="73"/>
      <c r="L31" s="73"/>
      <c r="M31" s="73"/>
      <c r="N31" s="73"/>
      <c r="O31" s="73"/>
    </row>
    <row r="32" spans="1:15" x14ac:dyDescent="0.25">
      <c r="A32" s="73"/>
      <c r="B32" s="73"/>
      <c r="C32" s="73"/>
      <c r="D32" s="73"/>
      <c r="E32" s="73"/>
      <c r="F32" s="73"/>
      <c r="J32" s="73"/>
      <c r="K32" s="73"/>
      <c r="L32" s="73"/>
      <c r="M32" s="73"/>
      <c r="N32" s="73"/>
      <c r="O32" s="73"/>
    </row>
    <row r="33" spans="1:15" x14ac:dyDescent="0.25">
      <c r="A33" s="87"/>
      <c r="B33" s="73"/>
      <c r="C33" s="73"/>
      <c r="D33" s="73"/>
      <c r="E33" s="73"/>
      <c r="F33" s="73"/>
      <c r="J33" s="87"/>
      <c r="K33" s="73"/>
      <c r="L33" s="73"/>
      <c r="M33" s="73"/>
      <c r="N33" s="73"/>
      <c r="O33" s="73"/>
    </row>
    <row r="34" spans="1:15" x14ac:dyDescent="0.25">
      <c r="A34" s="73"/>
      <c r="B34" s="73"/>
      <c r="C34" s="73"/>
      <c r="D34" s="73"/>
      <c r="E34" s="73"/>
      <c r="F34" s="73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FC07B-5DF9-4275-9751-0900BEB2F7BC}">
  <dimension ref="A1:L23"/>
  <sheetViews>
    <sheetView workbookViewId="0">
      <selection activeCell="N13" sqref="N13"/>
    </sheetView>
  </sheetViews>
  <sheetFormatPr defaultRowHeight="12.5" x14ac:dyDescent="0.25"/>
  <cols>
    <col min="2" max="2" width="8.7265625" customWidth="1"/>
    <col min="3" max="3" width="9.90625" bestFit="1" customWidth="1"/>
    <col min="5" max="5" width="10.1796875" customWidth="1"/>
    <col min="6" max="6" width="10.81640625" customWidth="1"/>
    <col min="11" max="11" width="2.90625" customWidth="1"/>
    <col min="12" max="12" width="10.7265625" customWidth="1"/>
    <col min="13" max="13" width="9.36328125" bestFit="1" customWidth="1"/>
  </cols>
  <sheetData>
    <row r="1" spans="1:12" ht="13" x14ac:dyDescent="0.25">
      <c r="A1" s="70" t="s">
        <v>82</v>
      </c>
    </row>
    <row r="3" spans="1:12" x14ac:dyDescent="0.25">
      <c r="A3" t="s">
        <v>109</v>
      </c>
    </row>
    <row r="4" spans="1:12" x14ac:dyDescent="0.25">
      <c r="A4" t="s">
        <v>110</v>
      </c>
    </row>
    <row r="6" spans="1:12" x14ac:dyDescent="0.25">
      <c r="C6" t="s">
        <v>15</v>
      </c>
      <c r="D6" s="54"/>
      <c r="E6" s="96" t="s">
        <v>111</v>
      </c>
      <c r="F6" s="97"/>
      <c r="G6" s="97"/>
    </row>
    <row r="7" spans="1:12" ht="25" x14ac:dyDescent="0.25">
      <c r="E7" s="69" t="s">
        <v>112</v>
      </c>
      <c r="F7" s="69" t="s">
        <v>113</v>
      </c>
      <c r="G7" s="55" t="s">
        <v>83</v>
      </c>
      <c r="J7" s="69" t="s">
        <v>93</v>
      </c>
      <c r="L7" s="55" t="s">
        <v>105</v>
      </c>
    </row>
    <row r="9" spans="1:12" x14ac:dyDescent="0.25">
      <c r="A9" s="63" t="s">
        <v>94</v>
      </c>
      <c r="B9" s="63" t="s">
        <v>95</v>
      </c>
      <c r="C9" s="57">
        <f>+'budget 2425'!D7</f>
        <v>56936.86</v>
      </c>
      <c r="E9">
        <v>1019.26</v>
      </c>
      <c r="F9" s="56">
        <f>+C9/E9</f>
        <v>55.860977571963971</v>
      </c>
      <c r="G9" s="56">
        <f>+F9/52</f>
        <v>1.0742495686916149</v>
      </c>
    </row>
    <row r="12" spans="1:12" x14ac:dyDescent="0.25">
      <c r="A12" t="s">
        <v>84</v>
      </c>
      <c r="B12" s="63" t="s">
        <v>96</v>
      </c>
      <c r="C12" s="57">
        <f>+'budget 2425'!J7</f>
        <v>72493.633000000002</v>
      </c>
      <c r="E12">
        <v>1033.45</v>
      </c>
      <c r="F12" s="56">
        <f>+C12/E12</f>
        <v>70.147208863515402</v>
      </c>
      <c r="G12" s="56">
        <f>+F12/52</f>
        <v>1.3489847858368347</v>
      </c>
      <c r="I12" s="58">
        <f>(+G12-G9)/G9</f>
        <v>0.25574617402903332</v>
      </c>
      <c r="J12" s="56">
        <f>+G12-G9</f>
        <v>0.27473521714521976</v>
      </c>
      <c r="L12" s="56">
        <f>+J12*52</f>
        <v>14.286231291551427</v>
      </c>
    </row>
    <row r="14" spans="1:12" x14ac:dyDescent="0.25">
      <c r="B14" s="63" t="s">
        <v>100</v>
      </c>
      <c r="C14" s="57">
        <f>+'budget 2425'!L7</f>
        <v>61787.457999999999</v>
      </c>
      <c r="E14">
        <v>1033.45</v>
      </c>
      <c r="F14" s="56">
        <f>+C14/E14</f>
        <v>59.787563984711397</v>
      </c>
      <c r="G14" s="56">
        <f>+F14/52</f>
        <v>1.1497608458598345</v>
      </c>
      <c r="I14" s="58">
        <f>(+G14-G9)/G9</f>
        <v>7.0292117743355254E-2</v>
      </c>
      <c r="J14" s="56">
        <f>+G14-G9</f>
        <v>7.5511277168219593E-2</v>
      </c>
      <c r="K14" s="63"/>
      <c r="L14" s="56">
        <f>+J14*52</f>
        <v>3.9265864127474188</v>
      </c>
    </row>
    <row r="16" spans="1:12" x14ac:dyDescent="0.25">
      <c r="B16" s="63" t="s">
        <v>101</v>
      </c>
      <c r="C16" s="57">
        <f>+'budget 2425'!N7</f>
        <v>66087.457999999999</v>
      </c>
      <c r="E16">
        <v>1033.45</v>
      </c>
      <c r="F16" s="56">
        <f>+C16/E16</f>
        <v>63.948384537229664</v>
      </c>
      <c r="G16" s="56">
        <f>+F16/52</f>
        <v>1.229776625715955</v>
      </c>
      <c r="I16" s="58">
        <f>(+G16-G9)/G9</f>
        <v>0.14477739768959338</v>
      </c>
      <c r="J16" s="56">
        <f>+G16-G9</f>
        <v>0.15552705702434011</v>
      </c>
      <c r="K16" s="63"/>
      <c r="L16" s="56">
        <f>+J16*52</f>
        <v>8.0874069652656857</v>
      </c>
    </row>
    <row r="19" spans="1:1" x14ac:dyDescent="0.25">
      <c r="A19" t="s">
        <v>106</v>
      </c>
    </row>
    <row r="20" spans="1:1" x14ac:dyDescent="0.25">
      <c r="A20" s="63" t="s">
        <v>114</v>
      </c>
    </row>
    <row r="21" spans="1:1" x14ac:dyDescent="0.25">
      <c r="A21" t="s">
        <v>108</v>
      </c>
    </row>
    <row r="22" spans="1:1" x14ac:dyDescent="0.25">
      <c r="A22" t="s">
        <v>107</v>
      </c>
    </row>
    <row r="23" spans="1:1" x14ac:dyDescent="0.25">
      <c r="A23" s="63" t="s">
        <v>115</v>
      </c>
    </row>
  </sheetData>
  <mergeCells count="1">
    <mergeCell ref="E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2425</vt:lpstr>
      <vt:lpstr>reserves forecast 31.3.24</vt:lpstr>
      <vt:lpstr>band D equiv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NetPosition</dc:title>
  <dc:creator>Crystal Decisions</dc:creator>
  <dc:description>Powered by Crystal</dc:description>
  <cp:lastModifiedBy>Alderbury Parish Council Parish Clerk</cp:lastModifiedBy>
  <cp:lastPrinted>2023-11-27T10:11:28Z</cp:lastPrinted>
  <dcterms:created xsi:type="dcterms:W3CDTF">2023-03-28T13:24:24Z</dcterms:created>
  <dcterms:modified xsi:type="dcterms:W3CDTF">2023-12-06T20:24:37Z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01734361CD07C3C85B968AA4B2781C480C5E84517533FB2EE1174F74E95997FC9503DC872D15E7FE07B95AE100ED7F409B9804B23AFDD9550D8F0E2DE277012DB7A24F5288916B48D8D5BD6B858F28A1AE0D948835BA90CA34512F3F45EA1126C19085E381313A2DE74F8B0BFBE7E2F329FECC76F534ACCE31607E17900D425</vt:lpwstr>
  </property>
  <property fmtid="{D5CDD505-2E9C-101B-9397-08002B2CF9AE}" pid="3" name="Business Objects Context Information1">
    <vt:lpwstr>4B75056DD69B202A80EAFF0241AC7766AD7894424FFDF52909FE336E0A92D90053556510CD272653DD20819E931D3FB5C9547809DFEA86464D4D273DE468AED9A56B6633CEB3604C6FE85DF83A5FC02E3A0BB7904F6C918460DE7F7A7E6446C0A29A40CCCEDAA72DA7ED2FB66B87420A687636C8F34D47CE81BFF114515949D</vt:lpwstr>
  </property>
  <property fmtid="{D5CDD505-2E9C-101B-9397-08002B2CF9AE}" pid="4" name="Business Objects Context Information2">
    <vt:lpwstr>182B7C034088FBECE8B2BEA48871FC140A01784907A59AD9C8B6FBBF94A2F6F4803F7640DDC704D1FAA68733DAB13FC0A1BCFC91F8CA8142B42D02913D64B0D91F2C2A2F2B3D33D6AE07C0E11FD864C1EE73C06B6B919E156809B7268560EEB7183526849A3A446B1F1904A666CC103399CABEF1C72A4D4827F5AF6EDF3A922</vt:lpwstr>
  </property>
  <property fmtid="{D5CDD505-2E9C-101B-9397-08002B2CF9AE}" pid="5" name="Business Objects Context Information3">
    <vt:lpwstr>4C7748FB0B29256E5950F24225DEAFB5AB7363DBAD0B0BA1762A370EFBFD5AF088AB5A98A26DA3E415DF668FCCAB9E67047E6D1E77DE7324BE3A2A4582E529F43BB632D61D1533934D1F8A059DD5F163AED64EE3E2562A401D8E7B686DD0D7CC9BDCCF42997C2B3734A1E8A86C32E70B4CA255ABEF7AE802B7AF4C2C3BCE55D</vt:lpwstr>
  </property>
  <property fmtid="{D5CDD505-2E9C-101B-9397-08002B2CF9AE}" pid="6" name="Business Objects Context Information4">
    <vt:lpwstr>50BCEB8FFC6755578E546B9ADD395B12EB366FB0F9D7BCE2AA687AD1CFFFC3FE7EAB81CA41427C2E2B2A7D6CFDD3611D4B0A84F74FCBCD1A61FFD1968BE753DDCEF4B6A4F6409516BDAA76CEAEA36DB749E7B3B7DCA8A0C23F8410452AD77D98A5C2FE12FF79D2D5BA8DCFD9BC1D741DA71BFF7F08DC4B151C4EE778D190095</vt:lpwstr>
  </property>
  <property fmtid="{D5CDD505-2E9C-101B-9397-08002B2CF9AE}" pid="7" name="Business Objects Context Information5">
    <vt:lpwstr>0AB25A59511D48D0F7985A5E7A223436486C49963F68810B7292B4529FDDA12979DE8EE0622522783FEB0498B6A63B4E4E5A2CBEF405ECB8EF7A693166AE93568856ACD60F7A03158C931B6D35B5F09995D0217194F17A8ADB9ED3254892F91E9348DCBB05E11A0D1B3DFC3189F9DF942C82D71240441E5438D4EFFA763A6B8</vt:lpwstr>
  </property>
  <property fmtid="{D5CDD505-2E9C-101B-9397-08002B2CF9AE}" pid="8" name="Business Objects Context Information6">
    <vt:lpwstr>515EA22694295ED554E90E9228FC9824C025F875CE5290316A839E961BE4ABAE85650D31E477FC72BB860BE9418080EF4282A8C676F15B8448B74FE1B5FFC191ADF14DF8DEB6221279B15ECAB229CE68489E4408BA3DD9C173F3DEF76D00F646BE02774257E7BDA79E85353EE888D28D4C540EB5287EA944F5BA36F3F36971B</vt:lpwstr>
  </property>
  <property fmtid="{D5CDD505-2E9C-101B-9397-08002B2CF9AE}" pid="9" name="Business Objects Context Information7">
    <vt:lpwstr>86C71C9F88330AE22D512FFA2C00F33E47561494FD52331B817C960A665FE491E516A74473D5E608DC7B87D88735249F0FC978BE14137B879B8002C8628F73C94A6D4D33D1EE95EDAA4D2C2CA67EBFEF02050CE4DA07E8DDCD4AE61D9A1C7F23D1B86ABD0B292418C682512F4D04FC9E157CA57E959341FD9568FD4E84698C8</vt:lpwstr>
  </property>
  <property fmtid="{D5CDD505-2E9C-101B-9397-08002B2CF9AE}" pid="10" name="Business Objects Context Information8">
    <vt:lpwstr>096AC4BF138E9756CC3CF7A922DCF372AFE0DFEA90D5A91FDDEA5772C25488125BBD932EF23CA0D57860A3490C7BAE4726C146FB374C776BC98B04B21E12DC06F3F3242DEF47EC5BBD9884AD4EF8B6F8633A86C9A17D0A6869E482D3994503B86CA9A259F52248DDEC8A71BD5771A2B86ECB95AE31E6CD98F8832F4B7D3955B</vt:lpwstr>
  </property>
  <property fmtid="{D5CDD505-2E9C-101B-9397-08002B2CF9AE}" pid="11" name="Business Objects Context Information9">
    <vt:lpwstr>D58AD014D5A</vt:lpwstr>
  </property>
</Properties>
</file>